
<file path=[Content_Types].xml><?xml version="1.0" encoding="utf-8"?>
<Types xmlns="http://schemas.openxmlformats.org/package/2006/content-types">
  <Default Extension="vml" ContentType="application/vnd.openxmlformats-officedocument.vmlDrawing"/>
  <Default Extension="bin" ContentType="application/vnd.openxmlformats-officedocument.oleObject"/>
  <Default Extension="png" ContentType="image/png"/>
  <Default Extension="jpeg" ContentType="image/jpeg"/>
  <Default Extension="JPG" ContentType="image/.jp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harts/chart1.xml" ContentType="application/vnd.openxmlformats-officedocument.drawingml.chart+xml"/>
  <Override PartName="/xl/charts/chart2.xml" ContentType="application/vnd.openxmlformats-officedocument.drawingml.chart+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23040" windowHeight="9420" tabRatio="604"/>
  </bookViews>
  <sheets>
    <sheet name="目录" sheetId="1" r:id="rId1"/>
    <sheet name="轴的计算校核" sheetId="2" r:id="rId2"/>
    <sheet name="轴承校核计算" sheetId="3" r:id="rId3"/>
    <sheet name="圆柱齿轮强度" sheetId="4" r:id="rId4"/>
    <sheet name="锥齿轮强度" sheetId="5" r:id="rId5"/>
    <sheet name="蜗杆蜗轮强度" sheetId="6" r:id="rId6"/>
    <sheet name="螺栓螺钉计算" sheetId="7" r:id="rId7"/>
    <sheet name="弹簧校核计算" sheetId="8" r:id="rId8"/>
    <sheet name="V带选型向导" sheetId="9" r:id="rId9"/>
    <sheet name="同步带选型向导" sheetId="10" r:id="rId10"/>
    <sheet name="传送平带转矩计算" sheetId="11" r:id="rId11"/>
    <sheet name="滚子链选型向导" sheetId="12" r:id="rId12"/>
    <sheet name="倍速链选型向导" sheetId="13" r:id="rId13"/>
    <sheet name="气缸选型向导" sheetId="14" r:id="rId14"/>
    <sheet name="回转气缸选型向导" sheetId="15" r:id="rId15"/>
    <sheet name="普通滑台气缸选型向导" sheetId="16" r:id="rId16"/>
    <sheet name="精密滑台气缸选型向导 " sheetId="17" r:id="rId17"/>
    <sheet name="气动手指选型向导" sheetId="18" r:id="rId18"/>
    <sheet name="电磁阀选型向导" sheetId="19" r:id="rId19"/>
    <sheet name="真空吸盘与发生器" sheetId="20" r:id="rId20"/>
    <sheet name="油压缓冲器选型" sheetId="21" r:id="rId21"/>
    <sheet name="液压缸选型向导" sheetId="22" r:id="rId22"/>
    <sheet name="液压马达选型向导" sheetId="23" r:id="rId23"/>
    <sheet name="液压泵选型向导" sheetId="24" r:id="rId24"/>
    <sheet name="直线轴承选型向导" sheetId="25" r:id="rId25"/>
    <sheet name="2x2直线导轨滑块与直线轴承" sheetId="26" r:id="rId26"/>
    <sheet name="2x1直线导轨滑块与直线轴承" sheetId="27" r:id="rId27"/>
    <sheet name="1x1直线导轨滑块与直线轴承" sheetId="28" r:id="rId28"/>
    <sheet name="滚珠丝杆选型" sheetId="29" r:id="rId29"/>
    <sheet name="步进伺服电机选型" sheetId="30" r:id="rId30"/>
    <sheet name="凸轮分割器" sheetId="31" r:id="rId31"/>
    <sheet name="硬度与强度换算" sheetId="32" r:id="rId32"/>
    <sheet name="管螺纹尺寸对照" sheetId="33" r:id="rId33"/>
    <sheet name="反解渐开线inv" sheetId="34" r:id="rId34"/>
    <sheet name="转动惯量" sheetId="35" r:id="rId35"/>
  </sheets>
  <calcPr calcId="144525"/>
  <customWorkbookViews>
    <customWorkbookView name="Administrator - 个人视图" guid="{27B96A40-A6B2-43F7-A93C-713F4207CB2A}" personalView="1" maximized="1" xWindow="1" yWindow="1" windowWidth="1680" windowHeight="841" activeSheetId="1"/>
  </customWorkbookViews>
</workbook>
</file>

<file path=xl/comments1.xml><?xml version="1.0" encoding="utf-8"?>
<comments xmlns="http://schemas.openxmlformats.org/spreadsheetml/2006/main">
  <authors>
    <author>Administrator</author>
  </authors>
  <commentList>
    <comment ref="C5" authorId="0">
      <text>
        <r>
          <rPr>
            <b/>
            <sz val="9"/>
            <rFont val="宋体"/>
            <charset val="134"/>
          </rPr>
          <t>图惜</t>
        </r>
        <r>
          <rPr>
            <b/>
            <sz val="9"/>
            <rFont val="Tahoma"/>
            <charset val="134"/>
          </rPr>
          <t xml:space="preserve">:
</t>
        </r>
        <r>
          <rPr>
            <b/>
            <sz val="9"/>
            <rFont val="宋体"/>
            <charset val="134"/>
          </rPr>
          <t>右侧选择下拉菜单</t>
        </r>
      </text>
    </comment>
    <comment ref="F5" authorId="0">
      <text>
        <r>
          <rPr>
            <b/>
            <sz val="9"/>
            <rFont val="宋体"/>
            <charset val="134"/>
          </rPr>
          <t>举例</t>
        </r>
        <r>
          <rPr>
            <b/>
            <sz val="9"/>
            <rFont val="Tahoma"/>
            <charset val="134"/>
          </rPr>
          <t>:</t>
        </r>
        <r>
          <rPr>
            <sz val="9"/>
            <rFont val="Tahoma"/>
            <charset val="134"/>
          </rPr>
          <t xml:space="preserve">
</t>
        </r>
        <r>
          <rPr>
            <sz val="12"/>
            <rFont val="宋体"/>
            <charset val="134"/>
          </rPr>
          <t>发电机、均匀运转的带式/板式输送机、螺旋输送机、轻型升降机、包装机、机床进给机构、通风机、均匀密度材料搅拌机等</t>
        </r>
      </text>
    </comment>
    <comment ref="C6" authorId="0">
      <text>
        <r>
          <rPr>
            <b/>
            <sz val="9"/>
            <rFont val="宋体"/>
            <charset val="134"/>
          </rPr>
          <t>图惜</t>
        </r>
        <r>
          <rPr>
            <b/>
            <sz val="9"/>
            <rFont val="Tahoma"/>
            <charset val="134"/>
          </rPr>
          <t xml:space="preserve">:
</t>
        </r>
        <r>
          <rPr>
            <b/>
            <sz val="9"/>
            <rFont val="宋体"/>
            <charset val="134"/>
          </rPr>
          <t>右侧选择下拉菜单</t>
        </r>
        <r>
          <rPr>
            <sz val="9"/>
            <rFont val="Tahoma"/>
            <charset val="134"/>
          </rPr>
          <t xml:space="preserve">
</t>
        </r>
      </text>
    </comment>
    <comment ref="F6" authorId="0">
      <text>
        <r>
          <rPr>
            <b/>
            <sz val="9"/>
            <rFont val="宋体"/>
            <charset val="134"/>
          </rPr>
          <t>举例</t>
        </r>
        <r>
          <rPr>
            <b/>
            <sz val="9"/>
            <rFont val="Tahoma"/>
            <charset val="134"/>
          </rPr>
          <t>:</t>
        </r>
        <r>
          <rPr>
            <sz val="9"/>
            <rFont val="Tahoma"/>
            <charset val="134"/>
          </rPr>
          <t xml:space="preserve">
</t>
        </r>
        <r>
          <rPr>
            <sz val="11"/>
            <rFont val="宋体"/>
            <charset val="134"/>
          </rPr>
          <t>均匀运转的带式/板式输送机、机床主传动机构、重型升降机、工业/矿用风机、重型离心机、变密度材料搅拌机等</t>
        </r>
      </text>
    </comment>
    <comment ref="F7" authorId="0">
      <text>
        <r>
          <rPr>
            <b/>
            <sz val="9"/>
            <rFont val="宋体"/>
            <charset val="134"/>
          </rPr>
          <t>举例</t>
        </r>
        <r>
          <rPr>
            <b/>
            <sz val="9"/>
            <rFont val="Tahoma"/>
            <charset val="134"/>
          </rPr>
          <t>:</t>
        </r>
        <r>
          <rPr>
            <sz val="9"/>
            <rFont val="Tahoma"/>
            <charset val="134"/>
          </rPr>
          <t xml:space="preserve">
</t>
        </r>
        <r>
          <rPr>
            <sz val="11"/>
            <rFont val="宋体"/>
            <charset val="134"/>
          </rPr>
          <t>橡胶挤压机、轻型球磨机、木工机械、钢坯初切机、提升装置、单杠活塞等</t>
        </r>
      </text>
    </comment>
    <comment ref="F8" authorId="0">
      <text>
        <r>
          <rPr>
            <b/>
            <sz val="9"/>
            <rFont val="宋体"/>
            <charset val="134"/>
          </rPr>
          <t>举例</t>
        </r>
        <r>
          <rPr>
            <b/>
            <sz val="9"/>
            <rFont val="Tahoma"/>
            <charset val="134"/>
          </rPr>
          <t>:</t>
        </r>
        <r>
          <rPr>
            <sz val="9"/>
            <rFont val="Tahoma"/>
            <charset val="134"/>
          </rPr>
          <t xml:space="preserve">
</t>
        </r>
        <r>
          <rPr>
            <sz val="11"/>
            <rFont val="宋体"/>
            <charset val="134"/>
          </rPr>
          <t>挖掘机、重型球磨机、橡胶揉合机、破碎机、重型给水泵、旋转式钻探装置、压砖机、带材冷轧机、压坯机等</t>
        </r>
      </text>
    </comment>
    <comment ref="D16" authorId="0">
      <text>
        <r>
          <rPr>
            <b/>
            <sz val="9"/>
            <rFont val="宋体"/>
            <charset val="134"/>
          </rPr>
          <t>图惜</t>
        </r>
        <r>
          <rPr>
            <b/>
            <sz val="9"/>
            <rFont val="Tahoma"/>
            <charset val="134"/>
          </rPr>
          <t>:
T</t>
        </r>
        <r>
          <rPr>
            <b/>
            <sz val="9"/>
            <rFont val="宋体"/>
            <charset val="134"/>
          </rPr>
          <t>最终值</t>
        </r>
        <r>
          <rPr>
            <sz val="9"/>
            <rFont val="Tahoma"/>
            <charset val="134"/>
          </rPr>
          <t xml:space="preserve">
</t>
        </r>
      </text>
    </comment>
    <comment ref="D25" authorId="0">
      <text>
        <r>
          <rPr>
            <b/>
            <sz val="9"/>
            <rFont val="宋体"/>
            <charset val="134"/>
          </rPr>
          <t>图惜</t>
        </r>
        <r>
          <rPr>
            <b/>
            <sz val="9"/>
            <rFont val="Tahoma"/>
            <charset val="134"/>
          </rPr>
          <t>:</t>
        </r>
        <r>
          <rPr>
            <sz val="9"/>
            <rFont val="Tahoma"/>
            <charset val="134"/>
          </rPr>
          <t xml:space="preserve">
</t>
        </r>
        <r>
          <rPr>
            <sz val="10"/>
            <rFont val="宋体"/>
            <charset val="134"/>
          </rPr>
          <t>比如2班倒，每班8小时，一年300天，5年
则 L=2*8*300*5</t>
        </r>
      </text>
    </comment>
  </commentList>
</comments>
</file>

<file path=xl/comments2.xml><?xml version="1.0" encoding="utf-8"?>
<comments xmlns="http://schemas.openxmlformats.org/spreadsheetml/2006/main">
  <authors>
    <author>Administrator</author>
  </authors>
  <commentList>
    <comment ref="C5" authorId="0">
      <text>
        <r>
          <rPr>
            <b/>
            <sz val="9"/>
            <rFont val="宋体"/>
            <charset val="134"/>
          </rPr>
          <t>图惜</t>
        </r>
        <r>
          <rPr>
            <b/>
            <sz val="9"/>
            <rFont val="Tahoma"/>
            <charset val="134"/>
          </rPr>
          <t xml:space="preserve">:
</t>
        </r>
        <r>
          <rPr>
            <b/>
            <sz val="9"/>
            <rFont val="宋体"/>
            <charset val="134"/>
          </rPr>
          <t>右侧选择下拉菜单</t>
        </r>
      </text>
    </comment>
    <comment ref="F5" authorId="0">
      <text>
        <r>
          <rPr>
            <b/>
            <sz val="9"/>
            <rFont val="宋体"/>
            <charset val="134"/>
          </rPr>
          <t>举例</t>
        </r>
        <r>
          <rPr>
            <b/>
            <sz val="9"/>
            <rFont val="Tahoma"/>
            <charset val="134"/>
          </rPr>
          <t>:</t>
        </r>
        <r>
          <rPr>
            <sz val="9"/>
            <rFont val="Tahoma"/>
            <charset val="134"/>
          </rPr>
          <t xml:space="preserve">
</t>
        </r>
        <r>
          <rPr>
            <sz val="12"/>
            <rFont val="宋体"/>
            <charset val="134"/>
          </rPr>
          <t>发电机、均匀运转的带式/板式输送机、螺旋输送机、轻型升降机、包装机、机床进给机构、通风机、均匀密度材料搅拌机等</t>
        </r>
      </text>
    </comment>
    <comment ref="F6" authorId="0">
      <text>
        <r>
          <rPr>
            <b/>
            <sz val="9"/>
            <rFont val="宋体"/>
            <charset val="134"/>
          </rPr>
          <t>举例</t>
        </r>
        <r>
          <rPr>
            <b/>
            <sz val="9"/>
            <rFont val="Tahoma"/>
            <charset val="134"/>
          </rPr>
          <t>:</t>
        </r>
        <r>
          <rPr>
            <sz val="9"/>
            <rFont val="Tahoma"/>
            <charset val="134"/>
          </rPr>
          <t xml:space="preserve">
</t>
        </r>
        <r>
          <rPr>
            <sz val="11"/>
            <rFont val="宋体"/>
            <charset val="134"/>
          </rPr>
          <t>均匀运转的带式/板式输送机、机床主传动机构、重型升降机、工业/矿用风机、重型离心机、变密度材料搅拌机等</t>
        </r>
      </text>
    </comment>
    <comment ref="F7" authorId="0">
      <text>
        <r>
          <rPr>
            <b/>
            <sz val="9"/>
            <rFont val="宋体"/>
            <charset val="134"/>
          </rPr>
          <t>举例</t>
        </r>
        <r>
          <rPr>
            <b/>
            <sz val="9"/>
            <rFont val="Tahoma"/>
            <charset val="134"/>
          </rPr>
          <t>:</t>
        </r>
        <r>
          <rPr>
            <sz val="9"/>
            <rFont val="Tahoma"/>
            <charset val="134"/>
          </rPr>
          <t xml:space="preserve">
</t>
        </r>
        <r>
          <rPr>
            <sz val="11"/>
            <rFont val="宋体"/>
            <charset val="134"/>
          </rPr>
          <t>橡胶挤压机、轻型球磨机、木工机械、钢坯初切机、提升装置、单杠活塞等</t>
        </r>
      </text>
    </comment>
    <comment ref="F8" authorId="0">
      <text>
        <r>
          <rPr>
            <b/>
            <sz val="9"/>
            <rFont val="宋体"/>
            <charset val="134"/>
          </rPr>
          <t>举例</t>
        </r>
        <r>
          <rPr>
            <b/>
            <sz val="9"/>
            <rFont val="Tahoma"/>
            <charset val="134"/>
          </rPr>
          <t>:</t>
        </r>
        <r>
          <rPr>
            <sz val="9"/>
            <rFont val="Tahoma"/>
            <charset val="134"/>
          </rPr>
          <t xml:space="preserve">
</t>
        </r>
        <r>
          <rPr>
            <sz val="11"/>
            <rFont val="宋体"/>
            <charset val="134"/>
          </rPr>
          <t>挖掘机、重型球磨机、橡胶揉合机、破碎机、重型给水泵、旋转式钻探装置、压砖机、带材冷轧机、压坯机等</t>
        </r>
      </text>
    </comment>
    <comment ref="D11" authorId="0">
      <text>
        <r>
          <rPr>
            <b/>
            <sz val="9"/>
            <rFont val="宋体"/>
            <charset val="134"/>
          </rPr>
          <t>图惜</t>
        </r>
        <r>
          <rPr>
            <b/>
            <sz val="9"/>
            <rFont val="Tahoma"/>
            <charset val="134"/>
          </rPr>
          <t>:
T</t>
        </r>
        <r>
          <rPr>
            <b/>
            <sz val="9"/>
            <rFont val="宋体"/>
            <charset val="134"/>
          </rPr>
          <t>最终值</t>
        </r>
        <r>
          <rPr>
            <sz val="9"/>
            <rFont val="Tahoma"/>
            <charset val="134"/>
          </rPr>
          <t xml:space="preserve">
</t>
        </r>
      </text>
    </comment>
    <comment ref="D21" authorId="0">
      <text>
        <r>
          <rPr>
            <b/>
            <sz val="9"/>
            <rFont val="宋体"/>
            <charset val="134"/>
          </rPr>
          <t>图惜</t>
        </r>
        <r>
          <rPr>
            <b/>
            <sz val="9"/>
            <rFont val="Tahoma"/>
            <charset val="134"/>
          </rPr>
          <t>:</t>
        </r>
        <r>
          <rPr>
            <sz val="9"/>
            <rFont val="Tahoma"/>
            <charset val="134"/>
          </rPr>
          <t xml:space="preserve">
</t>
        </r>
        <r>
          <rPr>
            <sz val="10"/>
            <rFont val="宋体"/>
            <charset val="134"/>
          </rPr>
          <t>比如2班倒，每班8小时，一年300天，5年
则 L=2*8*300*5</t>
        </r>
      </text>
    </comment>
  </commentList>
</comments>
</file>

<file path=xl/comments3.xml><?xml version="1.0" encoding="utf-8"?>
<comments xmlns="http://schemas.openxmlformats.org/spreadsheetml/2006/main">
  <authors>
    <author>Administrator</author>
  </authors>
  <commentList>
    <comment ref="D16" authorId="0">
      <text>
        <r>
          <rPr>
            <b/>
            <sz val="9"/>
            <rFont val="宋体"/>
            <charset val="134"/>
          </rPr>
          <t>图惜</t>
        </r>
        <r>
          <rPr>
            <b/>
            <sz val="9"/>
            <rFont val="Tahoma"/>
            <charset val="134"/>
          </rPr>
          <t xml:space="preserve">:
</t>
        </r>
        <r>
          <rPr>
            <b/>
            <sz val="9"/>
            <rFont val="宋体"/>
            <charset val="134"/>
          </rPr>
          <t>蜗杆输入扭矩</t>
        </r>
        <r>
          <rPr>
            <b/>
            <sz val="9"/>
            <rFont val="Tahoma"/>
            <charset val="134"/>
          </rPr>
          <t>T1</t>
        </r>
        <r>
          <rPr>
            <b/>
            <sz val="9"/>
            <rFont val="宋体"/>
            <charset val="134"/>
          </rPr>
          <t>最终值</t>
        </r>
        <r>
          <rPr>
            <sz val="9"/>
            <rFont val="Tahoma"/>
            <charset val="134"/>
          </rPr>
          <t xml:space="preserve">
</t>
        </r>
      </text>
    </comment>
    <comment ref="D19" authorId="0">
      <text>
        <r>
          <rPr>
            <b/>
            <sz val="9"/>
            <rFont val="宋体"/>
            <charset val="134"/>
          </rPr>
          <t>图惜</t>
        </r>
        <r>
          <rPr>
            <b/>
            <sz val="9"/>
            <rFont val="Tahoma"/>
            <charset val="134"/>
          </rPr>
          <t>:</t>
        </r>
        <r>
          <rPr>
            <sz val="9"/>
            <rFont val="Tahoma"/>
            <charset val="134"/>
          </rPr>
          <t xml:space="preserve">
</t>
        </r>
        <r>
          <rPr>
            <sz val="10"/>
            <rFont val="宋体"/>
            <charset val="134"/>
          </rPr>
          <t>比如2班倒，每班8小时，一年300天，5年
则 L=2*8*300*5</t>
        </r>
      </text>
    </comment>
  </commentList>
</comments>
</file>

<file path=xl/comments4.xml><?xml version="1.0" encoding="utf-8"?>
<comments xmlns="http://schemas.openxmlformats.org/spreadsheetml/2006/main">
  <authors>
    <author>Administrator</author>
  </authors>
  <commentList>
    <comment ref="H19" authorId="0">
      <text>
        <r>
          <rPr>
            <b/>
            <sz val="9"/>
            <rFont val="宋体"/>
            <charset val="134"/>
          </rPr>
          <t>图惜</t>
        </r>
        <r>
          <rPr>
            <b/>
            <sz val="9"/>
            <rFont val="Tahoma"/>
            <charset val="134"/>
          </rPr>
          <t xml:space="preserve">:
</t>
        </r>
        <r>
          <rPr>
            <b/>
            <sz val="9"/>
            <rFont val="宋体"/>
            <charset val="134"/>
          </rPr>
          <t>选择弹簧材质</t>
        </r>
      </text>
    </comment>
    <comment ref="I20" authorId="0">
      <text>
        <r>
          <rPr>
            <b/>
            <sz val="9"/>
            <rFont val="宋体"/>
            <charset val="134"/>
          </rPr>
          <t>图惜</t>
        </r>
        <r>
          <rPr>
            <b/>
            <sz val="9"/>
            <rFont val="Tahoma"/>
            <charset val="134"/>
          </rPr>
          <t xml:space="preserve">:
</t>
        </r>
        <r>
          <rPr>
            <b/>
            <sz val="9"/>
            <rFont val="宋体"/>
            <charset val="134"/>
          </rPr>
          <t>选择载荷性质，见右说明</t>
        </r>
      </text>
    </comment>
    <comment ref="I21" authorId="0">
      <text>
        <r>
          <rPr>
            <b/>
            <sz val="9"/>
            <rFont val="宋体"/>
            <charset val="134"/>
          </rPr>
          <t>图惜</t>
        </r>
        <r>
          <rPr>
            <b/>
            <sz val="9"/>
            <rFont val="Tahoma"/>
            <charset val="134"/>
          </rPr>
          <t>:</t>
        </r>
        <r>
          <rPr>
            <sz val="9"/>
            <rFont val="Tahoma"/>
            <charset val="134"/>
          </rPr>
          <t xml:space="preserve">
</t>
        </r>
        <r>
          <rPr>
            <sz val="9"/>
            <rFont val="宋体"/>
            <charset val="134"/>
          </rPr>
          <t>填入线径</t>
        </r>
      </text>
    </comment>
    <comment ref="I22" authorId="0">
      <text>
        <r>
          <rPr>
            <b/>
            <sz val="9"/>
            <rFont val="宋体"/>
            <charset val="134"/>
          </rPr>
          <t>图惜</t>
        </r>
        <r>
          <rPr>
            <b/>
            <sz val="9"/>
            <rFont val="Tahoma"/>
            <charset val="134"/>
          </rPr>
          <t xml:space="preserve">:
</t>
        </r>
        <r>
          <rPr>
            <b/>
            <sz val="9"/>
            <rFont val="宋体"/>
            <charset val="134"/>
          </rPr>
          <t>填入抗拉强度</t>
        </r>
      </text>
    </comment>
  </commentList>
</comments>
</file>

<file path=xl/comments5.xml><?xml version="1.0" encoding="utf-8"?>
<comments xmlns="http://schemas.openxmlformats.org/spreadsheetml/2006/main">
  <authors>
    <author>Administrator</author>
  </authors>
  <commentList>
    <comment ref="G4" authorId="0">
      <text>
        <r>
          <rPr>
            <b/>
            <sz val="9"/>
            <rFont val="宋体"/>
            <charset val="134"/>
          </rPr>
          <t>举例</t>
        </r>
        <r>
          <rPr>
            <b/>
            <sz val="9"/>
            <rFont val="Tahoma"/>
            <charset val="134"/>
          </rPr>
          <t>:</t>
        </r>
        <r>
          <rPr>
            <sz val="9"/>
            <rFont val="Tahoma"/>
            <charset val="134"/>
          </rPr>
          <t xml:space="preserve">
</t>
        </r>
        <r>
          <rPr>
            <sz val="12"/>
            <rFont val="宋体"/>
            <charset val="134"/>
          </rPr>
          <t>电动机（交流启动、三角启动、直流并励）、四缸以上内燃机</t>
        </r>
      </text>
    </comment>
    <comment ref="J4" authorId="0">
      <text>
        <r>
          <rPr>
            <b/>
            <sz val="9"/>
            <rFont val="宋体"/>
            <charset val="134"/>
          </rPr>
          <t>举例</t>
        </r>
        <r>
          <rPr>
            <b/>
            <sz val="9"/>
            <rFont val="Tahoma"/>
            <charset val="134"/>
          </rPr>
          <t>:</t>
        </r>
        <r>
          <rPr>
            <sz val="9"/>
            <rFont val="Tahoma"/>
            <charset val="134"/>
          </rPr>
          <t xml:space="preserve">
</t>
        </r>
        <r>
          <rPr>
            <sz val="12"/>
            <rFont val="宋体"/>
            <charset val="134"/>
          </rPr>
          <t>电动机（联机交流启动、直流复励或串励）、四缸以下内燃机</t>
        </r>
      </text>
    </comment>
    <comment ref="F6" authorId="0">
      <text>
        <r>
          <rPr>
            <b/>
            <sz val="9"/>
            <rFont val="宋体"/>
            <charset val="134"/>
          </rPr>
          <t>举例</t>
        </r>
        <r>
          <rPr>
            <b/>
            <sz val="9"/>
            <rFont val="Tahoma"/>
            <charset val="134"/>
          </rPr>
          <t>:</t>
        </r>
        <r>
          <rPr>
            <sz val="9"/>
            <rFont val="Tahoma"/>
            <charset val="134"/>
          </rPr>
          <t xml:space="preserve">
</t>
        </r>
        <r>
          <rPr>
            <sz val="12"/>
            <rFont val="宋体"/>
            <charset val="134"/>
          </rPr>
          <t>液体搅拌机,7.5kw内通风机和鼓风机,离心式水泵和压缩机,轻负荷输送机</t>
        </r>
      </text>
    </comment>
    <comment ref="F8" authorId="0">
      <text>
        <r>
          <rPr>
            <b/>
            <sz val="9"/>
            <rFont val="宋体"/>
            <charset val="134"/>
          </rPr>
          <t>举例</t>
        </r>
        <r>
          <rPr>
            <b/>
            <sz val="9"/>
            <rFont val="Tahoma"/>
            <charset val="134"/>
          </rPr>
          <t xml:space="preserve">:
</t>
        </r>
        <r>
          <rPr>
            <sz val="12"/>
            <rFont val="宋体"/>
            <charset val="134"/>
          </rPr>
          <t xml:space="preserve">带式输送机,旋转式水泵和压缩机,发电机,金属切削机床,印刷机,旋转筛,木工机械
</t>
        </r>
      </text>
    </comment>
    <comment ref="F10" authorId="0">
      <text>
        <r>
          <rPr>
            <b/>
            <sz val="9"/>
            <rFont val="宋体"/>
            <charset val="134"/>
          </rPr>
          <t>举例</t>
        </r>
        <r>
          <rPr>
            <b/>
            <sz val="9"/>
            <rFont val="Tahoma"/>
            <charset val="134"/>
          </rPr>
          <t>:</t>
        </r>
        <r>
          <rPr>
            <sz val="9"/>
            <rFont val="Tahoma"/>
            <charset val="134"/>
          </rPr>
          <t xml:space="preserve">
</t>
        </r>
        <r>
          <rPr>
            <sz val="12"/>
            <rFont val="宋体"/>
            <charset val="134"/>
          </rPr>
          <t>制砖机,斗式提升机,往复式水泵和压缩机,起重机,磨粉机,冲剪机床,橡胶机械,振动筛,纺织机械</t>
        </r>
      </text>
    </comment>
    <comment ref="F12" authorId="0">
      <text>
        <r>
          <rPr>
            <sz val="12"/>
            <rFont val="宋体"/>
            <charset val="134"/>
          </rPr>
          <t>举例：
破碎机（旋转式、颚式）,磨碎机（球磨、棒磨、管磨）</t>
        </r>
      </text>
    </comment>
  </commentList>
</comments>
</file>

<file path=xl/comments6.xml><?xml version="1.0" encoding="utf-8"?>
<comments xmlns="http://schemas.openxmlformats.org/spreadsheetml/2006/main">
  <authors>
    <author>Administrator</author>
  </authors>
  <commentList>
    <comment ref="J4" authorId="0">
      <text>
        <r>
          <rPr>
            <b/>
            <sz val="9"/>
            <rFont val="宋体"/>
            <charset val="134"/>
          </rPr>
          <t>举例</t>
        </r>
        <r>
          <rPr>
            <b/>
            <sz val="9"/>
            <rFont val="Tahoma"/>
            <charset val="134"/>
          </rPr>
          <t>:</t>
        </r>
        <r>
          <rPr>
            <sz val="9"/>
            <rFont val="Tahoma"/>
            <charset val="134"/>
          </rPr>
          <t xml:space="preserve">
</t>
        </r>
        <r>
          <rPr>
            <sz val="12"/>
            <rFont val="宋体"/>
            <charset val="134"/>
          </rPr>
          <t>交流电动机（鼠笼式、同步带电动机），直流电动机（并激），多缸内燃机</t>
        </r>
      </text>
    </comment>
    <comment ref="M4" authorId="0">
      <text>
        <r>
          <rPr>
            <b/>
            <sz val="9"/>
            <rFont val="宋体"/>
            <charset val="134"/>
          </rPr>
          <t>举例</t>
        </r>
        <r>
          <rPr>
            <b/>
            <sz val="9"/>
            <rFont val="Tahoma"/>
            <charset val="134"/>
          </rPr>
          <t>:</t>
        </r>
        <r>
          <rPr>
            <sz val="9"/>
            <rFont val="Tahoma"/>
            <charset val="134"/>
          </rPr>
          <t xml:space="preserve">
</t>
        </r>
        <r>
          <rPr>
            <sz val="9"/>
            <rFont val="宋体"/>
            <charset val="134"/>
          </rPr>
          <t>交流</t>
        </r>
        <r>
          <rPr>
            <sz val="12"/>
            <rFont val="宋体"/>
            <charset val="134"/>
          </rPr>
          <t>电动机（大转矩、大滑差率、单相、滑环），直流电动机（复励或串励），单缸内燃机</t>
        </r>
      </text>
    </comment>
  </commentList>
</comments>
</file>

<file path=xl/comments7.xml><?xml version="1.0" encoding="utf-8"?>
<comments xmlns="http://schemas.openxmlformats.org/spreadsheetml/2006/main">
  <authors>
    <author>Administrator</author>
  </authors>
  <commentList>
    <comment ref="D5" authorId="0">
      <text>
        <r>
          <rPr>
            <b/>
            <sz val="9"/>
            <rFont val="宋体"/>
            <charset val="134"/>
          </rPr>
          <t>图惜</t>
        </r>
        <r>
          <rPr>
            <b/>
            <sz val="9"/>
            <rFont val="Tahoma"/>
            <charset val="134"/>
          </rPr>
          <t>:
n</t>
        </r>
        <r>
          <rPr>
            <b/>
            <sz val="9"/>
            <rFont val="宋体"/>
            <charset val="134"/>
          </rPr>
          <t>最终值</t>
        </r>
        <r>
          <rPr>
            <sz val="9"/>
            <rFont val="Tahoma"/>
            <charset val="134"/>
          </rPr>
          <t xml:space="preserve">
</t>
        </r>
      </text>
    </comment>
  </commentList>
</comments>
</file>

<file path=xl/comments8.xml><?xml version="1.0" encoding="utf-8"?>
<comments xmlns="http://schemas.openxmlformats.org/spreadsheetml/2006/main">
  <authors>
    <author>Administrator</author>
  </authors>
  <commentList>
    <comment ref="G8" authorId="0">
      <text>
        <r>
          <rPr>
            <b/>
            <sz val="9"/>
            <rFont val="宋体"/>
            <charset val="134"/>
          </rPr>
          <t>举例</t>
        </r>
        <r>
          <rPr>
            <b/>
            <sz val="9"/>
            <rFont val="Tahoma"/>
            <charset val="134"/>
          </rPr>
          <t>:</t>
        </r>
        <r>
          <rPr>
            <sz val="9"/>
            <rFont val="Tahoma"/>
            <charset val="134"/>
          </rPr>
          <t xml:space="preserve">
</t>
        </r>
        <r>
          <rPr>
            <sz val="12"/>
            <rFont val="宋体"/>
            <charset val="134"/>
          </rPr>
          <t>电动机、汽轮机和燃气轮机、带有液力耦合器的内燃机</t>
        </r>
      </text>
    </comment>
    <comment ref="I8" authorId="0">
      <text>
        <r>
          <rPr>
            <b/>
            <sz val="9"/>
            <rFont val="宋体"/>
            <charset val="134"/>
          </rPr>
          <t>举例</t>
        </r>
        <r>
          <rPr>
            <b/>
            <sz val="9"/>
            <rFont val="Tahoma"/>
            <charset val="134"/>
          </rPr>
          <t>:</t>
        </r>
        <r>
          <rPr>
            <sz val="9"/>
            <rFont val="Tahoma"/>
            <charset val="134"/>
          </rPr>
          <t xml:space="preserve">
</t>
        </r>
        <r>
          <rPr>
            <sz val="12"/>
            <rFont val="宋体"/>
            <charset val="134"/>
          </rPr>
          <t>≥6缸带机械联轴器的内燃机、一日2次以上启动的电动机</t>
        </r>
      </text>
    </comment>
    <comment ref="K8" authorId="0">
      <text>
        <r>
          <rPr>
            <b/>
            <sz val="9"/>
            <rFont val="宋体"/>
            <charset val="134"/>
          </rPr>
          <t>举例</t>
        </r>
        <r>
          <rPr>
            <b/>
            <sz val="9"/>
            <rFont val="Tahoma"/>
            <charset val="134"/>
          </rPr>
          <t>:</t>
        </r>
        <r>
          <rPr>
            <sz val="9"/>
            <rFont val="Tahoma"/>
            <charset val="134"/>
          </rPr>
          <t xml:space="preserve">
</t>
        </r>
        <r>
          <rPr>
            <sz val="12"/>
            <rFont val="宋体"/>
            <charset val="134"/>
          </rPr>
          <t>＜</t>
        </r>
        <r>
          <rPr>
            <sz val="12"/>
            <rFont val="Tahoma"/>
            <charset val="134"/>
          </rPr>
          <t>6</t>
        </r>
        <r>
          <rPr>
            <sz val="12"/>
            <rFont val="宋体"/>
            <charset val="134"/>
          </rPr>
          <t>缸带机械联轴器的内燃机</t>
        </r>
      </text>
    </comment>
    <comment ref="F9" authorId="0">
      <text>
        <r>
          <rPr>
            <b/>
            <sz val="9"/>
            <rFont val="宋体"/>
            <charset val="134"/>
          </rPr>
          <t>举例</t>
        </r>
        <r>
          <rPr>
            <b/>
            <sz val="9"/>
            <rFont val="Tahoma"/>
            <charset val="134"/>
          </rPr>
          <t>:</t>
        </r>
        <r>
          <rPr>
            <sz val="9"/>
            <rFont val="Tahoma"/>
            <charset val="134"/>
          </rPr>
          <t xml:space="preserve">
</t>
        </r>
        <r>
          <rPr>
            <sz val="12"/>
            <rFont val="宋体"/>
            <charset val="134"/>
          </rPr>
          <t>离心泵和压缩泵、印刷机械、均匀加料的带式输送机、自动扶梯、纸张压光机、液体搅拌泵和混料机、回转干燥炉、风机</t>
        </r>
      </text>
    </comment>
    <comment ref="F10" authorId="0">
      <text>
        <r>
          <rPr>
            <b/>
            <sz val="9"/>
            <rFont val="宋体"/>
            <charset val="134"/>
          </rPr>
          <t>举例</t>
        </r>
        <r>
          <rPr>
            <b/>
            <sz val="9"/>
            <rFont val="Tahoma"/>
            <charset val="134"/>
          </rPr>
          <t xml:space="preserve">:
</t>
        </r>
        <r>
          <rPr>
            <sz val="12"/>
            <rFont val="宋体"/>
            <charset val="134"/>
          </rPr>
          <t>≥</t>
        </r>
        <r>
          <rPr>
            <sz val="12"/>
            <rFont val="Tahoma"/>
            <charset val="134"/>
          </rPr>
          <t>3</t>
        </r>
        <r>
          <rPr>
            <sz val="12"/>
            <rFont val="宋体"/>
            <charset val="134"/>
          </rPr>
          <t xml:space="preserve">缸泵和压缩机、混凝土搅拌机、载荷非均匀搅拌机、载荷非恒定输送机、固体搅拌机和混料机
</t>
        </r>
      </text>
    </comment>
    <comment ref="F11" authorId="0">
      <text>
        <r>
          <rPr>
            <b/>
            <sz val="9"/>
            <rFont val="宋体"/>
            <charset val="134"/>
          </rPr>
          <t>举例</t>
        </r>
        <r>
          <rPr>
            <b/>
            <sz val="9"/>
            <rFont val="Tahoma"/>
            <charset val="134"/>
          </rPr>
          <t>:</t>
        </r>
        <r>
          <rPr>
            <sz val="9"/>
            <rFont val="Tahoma"/>
            <charset val="134"/>
          </rPr>
          <t xml:space="preserve">
</t>
        </r>
        <r>
          <rPr>
            <sz val="12"/>
            <rFont val="宋体"/>
            <charset val="134"/>
          </rPr>
          <t>≤两缸的泵和压缩机、刨煤机、电铲、轧机、球磨机、橡胶公共机械、压力机、剪床、石油钻床</t>
        </r>
      </text>
    </comment>
  </commentList>
</comments>
</file>

<file path=xl/comments9.xml><?xml version="1.0" encoding="utf-8"?>
<comments xmlns="http://schemas.openxmlformats.org/spreadsheetml/2006/main">
  <authors>
    <author>Administrator</author>
  </authors>
  <commentList>
    <comment ref="G5" authorId="0">
      <text>
        <r>
          <rPr>
            <b/>
            <sz val="9"/>
            <rFont val="宋体"/>
            <charset val="134"/>
          </rPr>
          <t>图惜:
请输入数据</t>
        </r>
      </text>
    </comment>
    <comment ref="H5" authorId="0">
      <text>
        <r>
          <rPr>
            <b/>
            <sz val="9"/>
            <rFont val="宋体"/>
            <charset val="134"/>
          </rPr>
          <t>图惜</t>
        </r>
        <r>
          <rPr>
            <b/>
            <sz val="9"/>
            <rFont val="Tahoma"/>
            <charset val="134"/>
          </rPr>
          <t xml:space="preserve">:
</t>
        </r>
        <r>
          <rPr>
            <b/>
            <sz val="9"/>
            <rFont val="宋体"/>
            <charset val="134"/>
          </rPr>
          <t>请输入数据</t>
        </r>
      </text>
    </comment>
    <comment ref="G8" authorId="0">
      <text>
        <r>
          <rPr>
            <b/>
            <sz val="9"/>
            <rFont val="宋体"/>
            <charset val="134"/>
          </rPr>
          <t>图惜</t>
        </r>
        <r>
          <rPr>
            <b/>
            <sz val="9"/>
            <rFont val="Tahoma"/>
            <charset val="134"/>
          </rPr>
          <t xml:space="preserve">:
</t>
        </r>
        <r>
          <rPr>
            <b/>
            <sz val="9"/>
            <rFont val="宋体"/>
            <charset val="134"/>
          </rPr>
          <t>请输入数据</t>
        </r>
      </text>
    </comment>
    <comment ref="H8" authorId="0">
      <text>
        <r>
          <rPr>
            <b/>
            <sz val="9"/>
            <rFont val="宋体"/>
            <charset val="134"/>
          </rPr>
          <t>图惜</t>
        </r>
        <r>
          <rPr>
            <b/>
            <sz val="9"/>
            <rFont val="Tahoma"/>
            <charset val="134"/>
          </rPr>
          <t xml:space="preserve">:
</t>
        </r>
        <r>
          <rPr>
            <b/>
            <sz val="9"/>
            <rFont val="宋体"/>
            <charset val="134"/>
          </rPr>
          <t>请输入数据</t>
        </r>
      </text>
    </comment>
    <comment ref="G14" authorId="0">
      <text>
        <r>
          <rPr>
            <b/>
            <sz val="9"/>
            <rFont val="宋体"/>
            <charset val="134"/>
          </rPr>
          <t>图惜</t>
        </r>
        <r>
          <rPr>
            <b/>
            <sz val="9"/>
            <rFont val="Tahoma"/>
            <charset val="134"/>
          </rPr>
          <t xml:space="preserve">:
</t>
        </r>
        <r>
          <rPr>
            <b/>
            <sz val="9"/>
            <rFont val="宋体"/>
            <charset val="134"/>
          </rPr>
          <t>请输入数据</t>
        </r>
      </text>
    </comment>
    <comment ref="H14" authorId="0">
      <text>
        <r>
          <rPr>
            <b/>
            <sz val="9"/>
            <rFont val="宋体"/>
            <charset val="134"/>
          </rPr>
          <t>图惜</t>
        </r>
        <r>
          <rPr>
            <b/>
            <sz val="9"/>
            <rFont val="Tahoma"/>
            <charset val="134"/>
          </rPr>
          <t xml:space="preserve">:
</t>
        </r>
        <r>
          <rPr>
            <b/>
            <sz val="9"/>
            <rFont val="宋体"/>
            <charset val="134"/>
          </rPr>
          <t>请输入数据</t>
        </r>
      </text>
    </comment>
    <comment ref="I14" authorId="0">
      <text>
        <r>
          <rPr>
            <b/>
            <sz val="9"/>
            <rFont val="宋体"/>
            <charset val="134"/>
          </rPr>
          <t>图惜</t>
        </r>
        <r>
          <rPr>
            <b/>
            <sz val="9"/>
            <rFont val="Tahoma"/>
            <charset val="134"/>
          </rPr>
          <t xml:space="preserve">:
</t>
        </r>
        <r>
          <rPr>
            <b/>
            <sz val="9"/>
            <rFont val="宋体"/>
            <charset val="134"/>
          </rPr>
          <t>请输入数据</t>
        </r>
        <r>
          <rPr>
            <sz val="9"/>
            <rFont val="Tahoma"/>
            <charset val="134"/>
          </rPr>
          <t xml:space="preserve">
</t>
        </r>
      </text>
    </comment>
    <comment ref="G17" authorId="0">
      <text>
        <r>
          <rPr>
            <b/>
            <sz val="9"/>
            <rFont val="宋体"/>
            <charset val="134"/>
          </rPr>
          <t>图惜</t>
        </r>
        <r>
          <rPr>
            <b/>
            <sz val="9"/>
            <rFont val="Tahoma"/>
            <charset val="134"/>
          </rPr>
          <t xml:space="preserve">:
</t>
        </r>
        <r>
          <rPr>
            <b/>
            <sz val="9"/>
            <rFont val="宋体"/>
            <charset val="134"/>
          </rPr>
          <t>请输入数据</t>
        </r>
      </text>
    </comment>
    <comment ref="H17" authorId="0">
      <text>
        <r>
          <rPr>
            <b/>
            <sz val="9"/>
            <rFont val="宋体"/>
            <charset val="134"/>
          </rPr>
          <t>图惜</t>
        </r>
        <r>
          <rPr>
            <b/>
            <sz val="9"/>
            <rFont val="Tahoma"/>
            <charset val="134"/>
          </rPr>
          <t xml:space="preserve">:
</t>
        </r>
        <r>
          <rPr>
            <b/>
            <sz val="9"/>
            <rFont val="宋体"/>
            <charset val="134"/>
          </rPr>
          <t>请输入数据</t>
        </r>
        <r>
          <rPr>
            <sz val="9"/>
            <rFont val="Tahoma"/>
            <charset val="134"/>
          </rPr>
          <t xml:space="preserve">
</t>
        </r>
      </text>
    </comment>
    <comment ref="I17" authorId="0">
      <text>
        <r>
          <rPr>
            <b/>
            <sz val="9"/>
            <rFont val="宋体"/>
            <charset val="134"/>
          </rPr>
          <t>图惜</t>
        </r>
        <r>
          <rPr>
            <b/>
            <sz val="9"/>
            <rFont val="Tahoma"/>
            <charset val="134"/>
          </rPr>
          <t xml:space="preserve">:
</t>
        </r>
        <r>
          <rPr>
            <b/>
            <sz val="9"/>
            <rFont val="宋体"/>
            <charset val="134"/>
          </rPr>
          <t>请输入数据</t>
        </r>
        <r>
          <rPr>
            <sz val="9"/>
            <rFont val="Tahoma"/>
            <charset val="134"/>
          </rPr>
          <t xml:space="preserve">
</t>
        </r>
      </text>
    </comment>
  </commentList>
</comments>
</file>

<file path=xl/sharedStrings.xml><?xml version="1.0" encoding="utf-8"?>
<sst xmlns="http://schemas.openxmlformats.org/spreadsheetml/2006/main" count="4046" uniqueCount="2607">
  <si>
    <t>序号</t>
  </si>
  <si>
    <t>目录</t>
  </si>
  <si>
    <t>文档创作说明：</t>
  </si>
  <si>
    <t>传动轴校核计算合集</t>
  </si>
  <si>
    <r>
      <rPr>
        <sz val="11"/>
        <color theme="1"/>
        <rFont val="Tahoma"/>
        <charset val="134"/>
      </rPr>
      <t>1</t>
    </r>
    <r>
      <rPr>
        <sz val="11"/>
        <color theme="1"/>
        <rFont val="宋体"/>
        <charset val="134"/>
      </rPr>
      <t>，此文档包含</t>
    </r>
    <r>
      <rPr>
        <sz val="11"/>
        <color theme="1"/>
        <rFont val="Tahoma"/>
        <charset val="134"/>
      </rPr>
      <t>34</t>
    </r>
    <r>
      <rPr>
        <sz val="11"/>
        <color theme="1"/>
        <rFont val="宋体"/>
        <charset val="134"/>
      </rPr>
      <t>个校核、计算与选型软件，全部采用单线向导式布局，以方</t>
    </r>
  </si>
  <si>
    <t>轴承校核计算合集</t>
  </si>
  <si>
    <t xml:space="preserve">     便使用，所有文档为原创，原创不易，请勿用于商业目的，谢谢；</t>
  </si>
  <si>
    <t>圆柱齿轮强度校核计算</t>
  </si>
  <si>
    <r>
      <rPr>
        <sz val="11"/>
        <color theme="1"/>
        <rFont val="Tahoma"/>
        <charset val="134"/>
      </rPr>
      <t>2</t>
    </r>
    <r>
      <rPr>
        <sz val="11"/>
        <color theme="1"/>
        <rFont val="宋体"/>
        <charset val="134"/>
      </rPr>
      <t>，由于小编水平有限，难免有许多纰漏，请大家不吝赐教，多多指点；</t>
    </r>
  </si>
  <si>
    <t>锥齿轮强度</t>
  </si>
  <si>
    <r>
      <rPr>
        <sz val="11"/>
        <color theme="1"/>
        <rFont val="Tahoma"/>
        <charset val="134"/>
      </rPr>
      <t>3</t>
    </r>
    <r>
      <rPr>
        <sz val="11"/>
        <color theme="1"/>
        <rFont val="宋体"/>
        <charset val="134"/>
      </rPr>
      <t>，做此文档软件纯属个人爱好，每个文档中的数据、图表、资料都耗费了大</t>
    </r>
    <r>
      <rPr>
        <sz val="11"/>
        <color theme="1"/>
        <rFont val="Tahoma"/>
        <charset val="134"/>
      </rPr>
      <t xml:space="preserve">    </t>
    </r>
  </si>
  <si>
    <t>蜗杆蜗轮强度</t>
  </si>
  <si>
    <r>
      <rPr>
        <sz val="11"/>
        <color theme="1"/>
        <rFont val="Tahoma"/>
        <charset val="134"/>
      </rPr>
      <t xml:space="preserve">     </t>
    </r>
    <r>
      <rPr>
        <sz val="11"/>
        <color theme="1"/>
        <rFont val="宋体"/>
        <charset val="134"/>
      </rPr>
      <t>量时间和精力从书上和网上进行多次比对核实，图片总要找最清晰的，数</t>
    </r>
  </si>
  <si>
    <r>
      <rPr>
        <u/>
        <sz val="11"/>
        <color theme="10"/>
        <rFont val="宋体"/>
        <charset val="134"/>
      </rPr>
      <t>螺栓螺钉计算</t>
    </r>
  </si>
  <si>
    <r>
      <rPr>
        <sz val="11"/>
        <color theme="1"/>
        <rFont val="Tahoma"/>
        <charset val="134"/>
      </rPr>
      <t xml:space="preserve">     </t>
    </r>
    <r>
      <rPr>
        <sz val="11"/>
        <color theme="1"/>
        <rFont val="宋体"/>
        <charset val="134"/>
      </rPr>
      <t>据总要找最新最全的，能找到公式的绝不用图表查询，以保证精确度；</t>
    </r>
  </si>
  <si>
    <r>
      <rPr>
        <u/>
        <sz val="11"/>
        <color theme="10"/>
        <rFont val="宋体"/>
        <charset val="134"/>
      </rPr>
      <t>弹簧校核计算</t>
    </r>
  </si>
  <si>
    <r>
      <rPr>
        <sz val="11"/>
        <color theme="1"/>
        <rFont val="Tahoma"/>
        <charset val="134"/>
      </rPr>
      <t>4</t>
    </r>
    <r>
      <rPr>
        <sz val="11"/>
        <color theme="1"/>
        <rFont val="宋体"/>
        <charset val="134"/>
      </rPr>
      <t>，本合集并不是最终版，小编会不断更新完善；</t>
    </r>
  </si>
  <si>
    <r>
      <rPr>
        <u/>
        <sz val="11"/>
        <color theme="10"/>
        <rFont val="Tahoma"/>
        <charset val="134"/>
      </rPr>
      <t>V</t>
    </r>
    <r>
      <rPr>
        <u/>
        <sz val="11"/>
        <color theme="10"/>
        <rFont val="宋体"/>
        <charset val="134"/>
      </rPr>
      <t>带选型向导</t>
    </r>
  </si>
  <si>
    <r>
      <rPr>
        <sz val="11"/>
        <color theme="1"/>
        <rFont val="Tahoma"/>
        <charset val="134"/>
      </rPr>
      <t>5</t>
    </r>
    <r>
      <rPr>
        <sz val="11"/>
        <color theme="1"/>
        <rFont val="宋体"/>
        <charset val="134"/>
      </rPr>
      <t>，感谢各位老师，感谢各位师兄大力支持；</t>
    </r>
  </si>
  <si>
    <t>同步带选型向导</t>
  </si>
  <si>
    <r>
      <rPr>
        <sz val="11"/>
        <color theme="1"/>
        <rFont val="Tahoma"/>
        <charset val="134"/>
      </rPr>
      <t>6</t>
    </r>
    <r>
      <rPr>
        <sz val="11"/>
        <color theme="1"/>
        <rFont val="宋体"/>
        <charset val="134"/>
      </rPr>
      <t>，最后祝大家工作顺利，小白变大神。</t>
    </r>
  </si>
  <si>
    <t>传送平带转矩计算</t>
  </si>
  <si>
    <t xml:space="preserve">文档信息
</t>
  </si>
  <si>
    <t>滚子链选型向导</t>
  </si>
  <si>
    <t xml:space="preserve">编写：
参考：
  《材料力学—第4版》——刘鸿文
  《机械设计手册——第五版》——成大先
  《机械设计——第八版》——蒲良贵、纪名刚
  《英科宇机械工程师设计手——册电子版》
   各非标与标准件厂家的样本
   网校的课程
   网络的各种资料
更新日志：
2019.8.21 完成初稿；
2019.9.19 完成定稿；
2019.11.15 修改已知错误；
                                                  </t>
  </si>
  <si>
    <t>倍速链选型向导</t>
  </si>
  <si>
    <t>气缸选型向导</t>
  </si>
  <si>
    <t>回转气缸选型向导</t>
  </si>
  <si>
    <t>普通滑台气缸选型向导</t>
  </si>
  <si>
    <r>
      <rPr>
        <u/>
        <sz val="11"/>
        <color theme="10"/>
        <rFont val="宋体"/>
        <charset val="134"/>
      </rPr>
      <t>精密滑台气缸选型向导</t>
    </r>
    <r>
      <rPr>
        <u/>
        <sz val="11"/>
        <color theme="10"/>
        <rFont val="Tahoma"/>
        <charset val="134"/>
      </rPr>
      <t xml:space="preserve"> </t>
    </r>
  </si>
  <si>
    <t>气动手指选型向导</t>
  </si>
  <si>
    <t>电磁阀选型向导</t>
  </si>
  <si>
    <t>真空吸盘与发生器</t>
  </si>
  <si>
    <r>
      <rPr>
        <u/>
        <sz val="11"/>
        <color theme="10"/>
        <rFont val="宋体"/>
        <charset val="134"/>
      </rPr>
      <t>油压缓冲器选型</t>
    </r>
  </si>
  <si>
    <t>文档使用说明：</t>
  </si>
  <si>
    <t>液压缸选型向导</t>
  </si>
  <si>
    <r>
      <rPr>
        <sz val="11"/>
        <color theme="1"/>
        <rFont val="Tahoma"/>
        <charset val="134"/>
      </rPr>
      <t>1</t>
    </r>
    <r>
      <rPr>
        <sz val="11"/>
        <color theme="1"/>
        <rFont val="宋体"/>
        <charset val="134"/>
      </rPr>
      <t>，软件均采用单线向导式布局，左侧为主表，右侧为需要查询的数据库、图表</t>
    </r>
    <r>
      <rPr>
        <sz val="11"/>
        <color theme="1"/>
        <rFont val="Tahoma"/>
        <charset val="134"/>
      </rPr>
      <t xml:space="preserve">            
     </t>
    </r>
    <r>
      <rPr>
        <sz val="11"/>
        <color theme="1"/>
        <rFont val="宋体"/>
        <charset val="134"/>
      </rPr>
      <t xml:space="preserve">等在主表中依次从上向下填入所需工况数据，软件将自动计算出所需数据；
</t>
    </r>
    <r>
      <rPr>
        <sz val="11"/>
        <color theme="1"/>
        <rFont val="Tahoma"/>
        <charset val="134"/>
      </rPr>
      <t>2</t>
    </r>
    <r>
      <rPr>
        <sz val="11"/>
        <color theme="1"/>
        <rFont val="宋体"/>
        <charset val="134"/>
      </rPr>
      <t xml:space="preserve">，主表中淡蓝底色为不可修改的公式部分，白底色为需要用户填入数据的单元
</t>
    </r>
    <r>
      <rPr>
        <sz val="11"/>
        <color theme="1"/>
        <rFont val="Tahoma"/>
        <charset val="134"/>
      </rPr>
      <t xml:space="preserve">     </t>
    </r>
    <r>
      <rPr>
        <sz val="11"/>
        <color theme="1"/>
        <rFont val="宋体"/>
        <charset val="134"/>
      </rPr>
      <t xml:space="preserve">格，粉红底色为需要用户点击打开下拉菜单的单元格；
</t>
    </r>
    <r>
      <rPr>
        <sz val="11"/>
        <color theme="1"/>
        <rFont val="Tahoma"/>
        <charset val="134"/>
      </rPr>
      <t>3</t>
    </r>
    <r>
      <rPr>
        <sz val="11"/>
        <color theme="1"/>
        <rFont val="宋体"/>
        <charset val="134"/>
      </rPr>
      <t xml:space="preserve">，每个软件可以通过点击右上角图标返回目录。
</t>
    </r>
  </si>
  <si>
    <t>液压马达选型向导</t>
  </si>
  <si>
    <t>液压泵选型向导</t>
  </si>
  <si>
    <t>直线轴承选型向导</t>
  </si>
  <si>
    <r>
      <rPr>
        <u/>
        <sz val="11"/>
        <color theme="10"/>
        <rFont val="Tahoma"/>
        <charset val="134"/>
      </rPr>
      <t>2x2</t>
    </r>
    <r>
      <rPr>
        <u/>
        <sz val="11"/>
        <color theme="10"/>
        <rFont val="宋体"/>
        <charset val="134"/>
      </rPr>
      <t>直线导轨滑块与直线轴承</t>
    </r>
  </si>
  <si>
    <r>
      <rPr>
        <u/>
        <sz val="11"/>
        <color theme="10"/>
        <rFont val="Tahoma"/>
        <charset val="134"/>
      </rPr>
      <t>2x1</t>
    </r>
    <r>
      <rPr>
        <u/>
        <sz val="11"/>
        <color theme="10"/>
        <rFont val="宋体"/>
        <charset val="134"/>
      </rPr>
      <t>直线导轨滑块与直线轴承</t>
    </r>
  </si>
  <si>
    <r>
      <rPr>
        <u/>
        <sz val="11"/>
        <color theme="10"/>
        <rFont val="Tahoma"/>
        <charset val="134"/>
      </rPr>
      <t>1x1</t>
    </r>
    <r>
      <rPr>
        <u/>
        <sz val="11"/>
        <color theme="10"/>
        <rFont val="宋体"/>
        <charset val="134"/>
      </rPr>
      <t>直线导轨滑块与直线轴承</t>
    </r>
  </si>
  <si>
    <t>滚珠丝杆选型向导</t>
  </si>
  <si>
    <r>
      <rPr>
        <u/>
        <sz val="11"/>
        <color theme="10"/>
        <rFont val="宋体"/>
        <charset val="134"/>
      </rPr>
      <t>步进伺服电机选型合集</t>
    </r>
  </si>
  <si>
    <t>凸轮分割器选型合集</t>
  </si>
  <si>
    <t>硬度与强度换算</t>
  </si>
  <si>
    <t>管螺纹尺寸对照</t>
  </si>
  <si>
    <r>
      <rPr>
        <u/>
        <sz val="11"/>
        <color theme="10"/>
        <rFont val="宋体"/>
        <charset val="134"/>
      </rPr>
      <t>反解渐开线</t>
    </r>
    <r>
      <rPr>
        <u/>
        <sz val="11"/>
        <color theme="10"/>
        <rFont val="Tahoma"/>
        <charset val="134"/>
      </rPr>
      <t>inv</t>
    </r>
  </si>
  <si>
    <t>刚体与机构转动惯量计算合集</t>
  </si>
  <si>
    <t>轴的计算与校核</t>
  </si>
  <si>
    <t>轴选用的材料</t>
  </si>
  <si>
    <t>40Cr,42SiMn</t>
  </si>
  <si>
    <t>[τ](Mpa)</t>
  </si>
  <si>
    <t>电机启动时间t数据库</t>
  </si>
  <si>
    <r>
      <rPr>
        <sz val="12"/>
        <color theme="1"/>
        <rFont val="宋体"/>
        <charset val="134"/>
        <scheme val="minor"/>
      </rPr>
      <t>说明：
对于受扭转轴的校核分为</t>
    </r>
    <r>
      <rPr>
        <sz val="12"/>
        <color rgb="FFFF0000"/>
        <rFont val="宋体"/>
        <charset val="134"/>
        <scheme val="minor"/>
      </rPr>
      <t>扭转强度校核和刚度校核</t>
    </r>
    <r>
      <rPr>
        <sz val="12"/>
        <color theme="1"/>
        <rFont val="宋体"/>
        <charset val="134"/>
        <scheme val="minor"/>
      </rPr>
      <t xml:space="preserve">
</t>
    </r>
    <r>
      <rPr>
        <sz val="12"/>
        <color rgb="FFFF0000"/>
        <rFont val="宋体"/>
        <charset val="134"/>
        <scheme val="minor"/>
      </rPr>
      <t>1，扭转强度校核公式：τ=T/Wt≤[τ]</t>
    </r>
    <r>
      <rPr>
        <sz val="12"/>
        <color theme="1"/>
        <rFont val="宋体"/>
        <charset val="134"/>
        <scheme val="minor"/>
      </rPr>
      <t xml:space="preserve">
其中τ的量纲Mpa（N/mm²）,T为转矩,量纲N.mm，Wt为扭转截面系数,量纲mm³，可查询机械设计手册第5版3-105或通过以下公式计算得到：
</t>
    </r>
    <r>
      <rPr>
        <sz val="12"/>
        <color rgb="FFFF0000"/>
        <rFont val="宋体"/>
        <charset val="134"/>
        <scheme val="minor"/>
      </rPr>
      <t>实心轴：Wt=πd³/16；空心轴：Wt=π(D</t>
    </r>
    <r>
      <rPr>
        <vertAlign val="superscript"/>
        <sz val="12"/>
        <color rgb="FFFF0000"/>
        <rFont val="宋体"/>
        <charset val="134"/>
        <scheme val="minor"/>
      </rPr>
      <t>4</t>
    </r>
    <r>
      <rPr>
        <sz val="12"/>
        <color rgb="FFFF0000"/>
        <rFont val="宋体"/>
        <charset val="134"/>
        <scheme val="minor"/>
      </rPr>
      <t>-d</t>
    </r>
    <r>
      <rPr>
        <vertAlign val="superscript"/>
        <sz val="12"/>
        <color rgb="FFFF0000"/>
        <rFont val="宋体"/>
        <charset val="134"/>
        <scheme val="minor"/>
      </rPr>
      <t>4</t>
    </r>
    <r>
      <rPr>
        <sz val="12"/>
        <color rgb="FFFF0000"/>
        <rFont val="宋体"/>
        <charset val="134"/>
        <scheme val="minor"/>
      </rPr>
      <t>)/(16*D)</t>
    </r>
    <r>
      <rPr>
        <sz val="12"/>
        <color theme="1"/>
        <rFont val="宋体"/>
        <charset val="134"/>
        <scheme val="minor"/>
      </rPr>
      <t xml:space="preserve">
</t>
    </r>
    <r>
      <rPr>
        <sz val="12"/>
        <color rgb="FFFF0000"/>
        <rFont val="宋体"/>
        <charset val="134"/>
        <scheme val="minor"/>
      </rPr>
      <t xml:space="preserve">
2，刚度校核校核公式:φ=(180/π)*T/(G*Ip）≤[φ]</t>
    </r>
    <r>
      <rPr>
        <sz val="12"/>
        <color theme="1"/>
        <rFont val="宋体"/>
        <charset val="134"/>
        <scheme val="minor"/>
      </rPr>
      <t xml:space="preserve">
其中G*Ip为扭转刚度，G为切变模量，量纲为GPa的常量，碳钢均为79GPa（79KN/mm²），Ip为极惯性矩，通过CAD或SW草图模块画出截面可以查询到，量纲为mm^4,也可通过公式计算
</t>
    </r>
    <r>
      <rPr>
        <sz val="12"/>
        <color rgb="FFFF0000"/>
        <rFont val="宋体"/>
        <charset val="134"/>
        <scheme val="minor"/>
      </rPr>
      <t>实心轴：Ip=πd</t>
    </r>
    <r>
      <rPr>
        <vertAlign val="superscript"/>
        <sz val="12"/>
        <color rgb="FFFF0000"/>
        <rFont val="宋体"/>
        <charset val="134"/>
        <scheme val="minor"/>
      </rPr>
      <t>4</t>
    </r>
    <r>
      <rPr>
        <sz val="12"/>
        <color rgb="FFFF0000"/>
        <rFont val="宋体"/>
        <charset val="134"/>
        <scheme val="minor"/>
      </rPr>
      <t>/32；空心轴：Ip=π(D</t>
    </r>
    <r>
      <rPr>
        <vertAlign val="superscript"/>
        <sz val="12"/>
        <color rgb="FFFF0000"/>
        <rFont val="宋体"/>
        <charset val="134"/>
        <scheme val="minor"/>
      </rPr>
      <t>4</t>
    </r>
    <r>
      <rPr>
        <sz val="12"/>
        <color rgb="FFFF0000"/>
        <rFont val="宋体"/>
        <charset val="134"/>
        <scheme val="minor"/>
      </rPr>
      <t>-d</t>
    </r>
    <r>
      <rPr>
        <vertAlign val="superscript"/>
        <sz val="12"/>
        <color rgb="FFFF0000"/>
        <rFont val="宋体"/>
        <charset val="134"/>
        <scheme val="minor"/>
      </rPr>
      <t>4</t>
    </r>
    <r>
      <rPr>
        <sz val="12"/>
        <color rgb="FFFF0000"/>
        <rFont val="宋体"/>
        <charset val="134"/>
        <scheme val="minor"/>
      </rPr>
      <t>)/32</t>
    </r>
    <r>
      <rPr>
        <sz val="12"/>
        <color theme="1"/>
        <rFont val="宋体"/>
        <charset val="134"/>
        <scheme val="minor"/>
      </rPr>
      <t xml:space="preserve">
</t>
    </r>
  </si>
  <si>
    <t>电机种类</t>
  </si>
  <si>
    <t>t（s）</t>
  </si>
  <si>
    <t>第一步，根据负载算出最小传动轴径（3选1）</t>
  </si>
  <si>
    <t>伺服(0.05~0.2)</t>
  </si>
  <si>
    <t>当直连回转体负载时 T=J*α</t>
  </si>
  <si>
    <t>步进(0.1~0.3)</t>
  </si>
  <si>
    <t>负载参数</t>
  </si>
  <si>
    <t>单位</t>
  </si>
  <si>
    <t>输入与计算</t>
  </si>
  <si>
    <t>备注</t>
  </si>
  <si>
    <t>普通异步</t>
  </si>
  <si>
    <t>转动惯量J</t>
  </si>
  <si>
    <t>kg.mm²</t>
  </si>
  <si>
    <t>SW中查惯性张量</t>
  </si>
  <si>
    <t>重载</t>
  </si>
  <si>
    <t>≥1</t>
  </si>
  <si>
    <t>正常转速n</t>
  </si>
  <si>
    <t>r/min</t>
  </si>
  <si>
    <t>电机启动时间t</t>
  </si>
  <si>
    <t>s</t>
  </si>
  <si>
    <t>参考右侧库</t>
  </si>
  <si>
    <t>转动加速度α</t>
  </si>
  <si>
    <t>rad/s²</t>
  </si>
  <si>
    <t>α=△ω/△t
  =2π*n/60/t</t>
  </si>
  <si>
    <t>许用扭转强度[τ]数据库</t>
  </si>
  <si>
    <t>所需转矩T</t>
  </si>
  <si>
    <t>N.m</t>
  </si>
  <si>
    <t>材料牌号</t>
  </si>
  <si>
    <t>最小计算轴径</t>
  </si>
  <si>
    <t>mm</t>
  </si>
  <si>
    <t>20,Q235</t>
  </si>
  <si>
    <t>当带传动、链传动、齿轮齿条、卷扬机构等负载力时 T=F*L</t>
  </si>
  <si>
    <t>35,Q275</t>
  </si>
  <si>
    <t>321(Cr18Ni9Ti)</t>
  </si>
  <si>
    <t>负载力F</t>
  </si>
  <si>
    <t>N</t>
  </si>
  <si>
    <t>力臂或回转半径L</t>
  </si>
  <si>
    <t>35SiMn,38CrMnMo</t>
  </si>
  <si>
    <t>文档信息
编写：煜宸
参考：《材料力学—第4版》——刘鸿文
      《机械设计手册——第五版》——成大先
鸣谢：前桥教育——宣言老师
                                   2018.7.18</t>
  </si>
  <si>
    <t>420(2Cr13/3Cr13)</t>
  </si>
  <si>
    <t>当已知轴传递功率和轴转速时 T=9549P/n，只需校核刚度</t>
  </si>
  <si>
    <t>电机与负载参数</t>
  </si>
  <si>
    <t>材料切变模量G数据库</t>
  </si>
  <si>
    <t>轴传递功率</t>
  </si>
  <si>
    <t>Kw</t>
  </si>
  <si>
    <t>材料</t>
  </si>
  <si>
    <t>G（GPa）</t>
  </si>
  <si>
    <t>轴转速n</t>
  </si>
  <si>
    <t>碳钢</t>
  </si>
  <si>
    <t>转矩T</t>
  </si>
  <si>
    <t>合金钢,不锈钢</t>
  </si>
  <si>
    <t>灰口铸铁,白口铸铁</t>
  </si>
  <si>
    <t>球墨铸铁</t>
  </si>
  <si>
    <t>73~76</t>
  </si>
  <si>
    <t>第二步，轴扭转强度校核（2选1）</t>
  </si>
  <si>
    <t>纯铜,锰青铜</t>
  </si>
  <si>
    <t>已知电机功率和轴转速时</t>
  </si>
  <si>
    <t>黄铜,铝青铜</t>
  </si>
  <si>
    <t>电机与轴参数</t>
  </si>
  <si>
    <t>铝合金</t>
  </si>
  <si>
    <t>电机功率P</t>
  </si>
  <si>
    <t>扎制铝</t>
  </si>
  <si>
    <t>24~26</t>
  </si>
  <si>
    <t>木材</t>
  </si>
  <si>
    <t>最小设计轴径d</t>
  </si>
  <si>
    <t>直驱输出力矩T</t>
  </si>
  <si>
    <t>必须&gt;负载所需T</t>
  </si>
  <si>
    <t>扭转剪应力τ</t>
  </si>
  <si>
    <t>Mpa</t>
  </si>
  <si>
    <t>许用扭转刚度[φ]经验库</t>
  </si>
  <si>
    <t>数据判断</t>
  </si>
  <si>
    <t>传动精度要求</t>
  </si>
  <si>
    <t>[φ](°/m)</t>
  </si>
  <si>
    <t>精密传动</t>
  </si>
  <si>
    <t>0.25~0.5</t>
  </si>
  <si>
    <t>已知减速机输出转矩时</t>
  </si>
  <si>
    <t>一般传动</t>
  </si>
  <si>
    <t>0.5~1</t>
  </si>
  <si>
    <t>减速机与轴参数</t>
  </si>
  <si>
    <t>要求不高的轴</t>
  </si>
  <si>
    <t>减速机输出力矩T</t>
  </si>
  <si>
    <t>查表,必须&gt;负载T</t>
  </si>
  <si>
    <t>第三步，轴刚度校核</t>
  </si>
  <si>
    <t>轴参数</t>
  </si>
  <si>
    <t>轴传递的扭矩</t>
  </si>
  <si>
    <t>切变模量G</t>
  </si>
  <si>
    <t>Gpa</t>
  </si>
  <si>
    <t>参考右侧数据库</t>
  </si>
  <si>
    <t>极惯性矩Ip</t>
  </si>
  <si>
    <r>
      <rPr>
        <sz val="11"/>
        <color theme="1"/>
        <rFont val="宋体"/>
        <charset val="134"/>
        <scheme val="minor"/>
      </rPr>
      <t>mm</t>
    </r>
    <r>
      <rPr>
        <vertAlign val="superscript"/>
        <sz val="11"/>
        <color theme="1"/>
        <rFont val="宋体"/>
        <charset val="134"/>
        <scheme val="minor"/>
      </rPr>
      <t>4</t>
    </r>
  </si>
  <si>
    <t>刚度φ</t>
  </si>
  <si>
    <t>°/m</t>
  </si>
  <si>
    <t>和右侧库对比</t>
  </si>
  <si>
    <t>序：典型轴承模型受力分析</t>
  </si>
  <si>
    <r>
      <rPr>
        <sz val="11"/>
        <color theme="1"/>
        <rFont val="宋体"/>
        <charset val="134"/>
      </rPr>
      <t>序表</t>
    </r>
    <r>
      <rPr>
        <sz val="11"/>
        <color theme="1"/>
        <rFont val="Tahoma"/>
        <charset val="134"/>
      </rPr>
      <t xml:space="preserve"> </t>
    </r>
    <r>
      <rPr>
        <sz val="11"/>
        <color theme="1"/>
        <rFont val="宋体"/>
        <charset val="134"/>
      </rPr>
      <t>派生轴向力</t>
    </r>
    <r>
      <rPr>
        <sz val="11"/>
        <color theme="1"/>
        <rFont val="Tahoma"/>
        <charset val="134"/>
      </rPr>
      <t>Fd</t>
    </r>
    <r>
      <rPr>
        <sz val="11"/>
        <color theme="1"/>
        <rFont val="宋体"/>
        <charset val="134"/>
      </rPr>
      <t>计算公式</t>
    </r>
  </si>
  <si>
    <r>
      <rPr>
        <sz val="10"/>
        <rFont val="宋体"/>
        <charset val="134"/>
      </rPr>
      <t>说明：此模型广泛应用于齿轮或皮带</t>
    </r>
    <r>
      <rPr>
        <sz val="10"/>
        <rFont val="Tahoma"/>
        <charset val="134"/>
      </rPr>
      <t>/</t>
    </r>
    <r>
      <rPr>
        <sz val="10"/>
        <rFont val="宋体"/>
        <charset val="134"/>
      </rPr>
      <t>链传动。</t>
    </r>
    <r>
      <rPr>
        <sz val="10"/>
        <rFont val="Tahoma"/>
        <charset val="134"/>
      </rPr>
      <t>(1)</t>
    </r>
    <r>
      <rPr>
        <sz val="10"/>
        <rFont val="宋体"/>
        <charset val="134"/>
      </rPr>
      <t>当为直齿轮或皮带</t>
    </r>
    <r>
      <rPr>
        <sz val="10"/>
        <rFont val="Tahoma"/>
        <charset val="134"/>
      </rPr>
      <t>/</t>
    </r>
    <r>
      <rPr>
        <sz val="10"/>
        <rFont val="宋体"/>
        <charset val="134"/>
      </rPr>
      <t>链轮时，轴向力</t>
    </r>
    <r>
      <rPr>
        <sz val="10"/>
        <rFont val="Tahoma"/>
        <charset val="134"/>
      </rPr>
      <t>Fae=0</t>
    </r>
    <r>
      <rPr>
        <sz val="10"/>
        <rFont val="宋体"/>
        <charset val="134"/>
      </rPr>
      <t>；</t>
    </r>
    <r>
      <rPr>
        <sz val="10"/>
        <rFont val="Tahoma"/>
        <charset val="134"/>
      </rPr>
      <t>(2)</t>
    </r>
    <r>
      <rPr>
        <sz val="10"/>
        <rFont val="宋体"/>
        <charset val="134"/>
      </rPr>
      <t>当为齿轮传动时，径向力</t>
    </r>
    <r>
      <rPr>
        <sz val="10"/>
        <rFont val="Tahoma"/>
        <charset val="134"/>
      </rPr>
      <t>Fre</t>
    </r>
    <r>
      <rPr>
        <sz val="10"/>
        <rFont val="宋体"/>
        <charset val="134"/>
      </rPr>
      <t>为齿轮的重力；当为皮带轮时，</t>
    </r>
    <r>
      <rPr>
        <sz val="10"/>
        <rFont val="Tahoma"/>
        <charset val="134"/>
      </rPr>
      <t>Fre</t>
    </r>
    <r>
      <rPr>
        <sz val="10"/>
        <rFont val="宋体"/>
        <charset val="134"/>
      </rPr>
      <t>为重力和预紧力的合力；</t>
    </r>
    <r>
      <rPr>
        <sz val="10"/>
        <rFont val="Tahoma"/>
        <charset val="134"/>
      </rPr>
      <t>(3)</t>
    </r>
    <r>
      <rPr>
        <sz val="10"/>
        <rFont val="宋体"/>
        <charset val="134"/>
      </rPr>
      <t>切向力</t>
    </r>
    <r>
      <rPr>
        <sz val="10"/>
        <rFont val="Tahoma"/>
        <charset val="134"/>
      </rPr>
      <t>Fte</t>
    </r>
    <r>
      <rPr>
        <sz val="10"/>
        <rFont val="宋体"/>
        <charset val="134"/>
      </rPr>
      <t>可以通过转矩</t>
    </r>
    <r>
      <rPr>
        <sz val="10"/>
        <rFont val="Tahoma"/>
        <charset val="134"/>
      </rPr>
      <t>T</t>
    </r>
    <r>
      <rPr>
        <sz val="10"/>
        <rFont val="宋体"/>
        <charset val="134"/>
      </rPr>
      <t>求得，</t>
    </r>
    <r>
      <rPr>
        <sz val="10"/>
        <rFont val="Tahoma"/>
        <charset val="134"/>
      </rPr>
      <t>T=Fte*d/2</t>
    </r>
    <r>
      <rPr>
        <sz val="10"/>
        <rFont val="宋体"/>
        <charset val="134"/>
      </rPr>
      <t>。</t>
    </r>
  </si>
  <si>
    <t>圆锥滚子
轴承</t>
  </si>
  <si>
    <r>
      <rPr>
        <sz val="11"/>
        <color theme="1"/>
        <rFont val="宋体"/>
        <charset val="134"/>
      </rPr>
      <t>角接触球轴承</t>
    </r>
    <r>
      <rPr>
        <sz val="11"/>
        <color theme="1"/>
        <rFont val="Tahoma"/>
        <charset val="134"/>
      </rPr>
      <t>7000</t>
    </r>
    <r>
      <rPr>
        <sz val="11"/>
        <color theme="1"/>
        <rFont val="宋体"/>
        <charset val="134"/>
      </rPr>
      <t>系列</t>
    </r>
  </si>
  <si>
    <r>
      <rPr>
        <sz val="11"/>
        <color theme="1"/>
        <rFont val="Tahoma"/>
        <charset val="134"/>
      </rPr>
      <t>C</t>
    </r>
    <r>
      <rPr>
        <sz val="11"/>
        <color theme="1"/>
        <rFont val="Tahoma"/>
        <charset val="134"/>
      </rPr>
      <t>(α=15°)</t>
    </r>
  </si>
  <si>
    <t>AC(α=25°)</t>
  </si>
  <si>
    <t>B(α=40°)</t>
  </si>
  <si>
    <t>步骤</t>
  </si>
  <si>
    <t>参数</t>
  </si>
  <si>
    <t>数值</t>
  </si>
  <si>
    <t>备注与图示</t>
  </si>
  <si>
    <t>Fd=eFr</t>
  </si>
  <si>
    <t>Fd=0.68Fr</t>
  </si>
  <si>
    <t>Fd=1.14Fr</t>
  </si>
  <si>
    <t>已知条件</t>
  </si>
  <si>
    <r>
      <rPr>
        <sz val="11"/>
        <color theme="1"/>
        <rFont val="宋体"/>
        <charset val="134"/>
      </rPr>
      <t>轴向力</t>
    </r>
    <r>
      <rPr>
        <sz val="11"/>
        <color theme="1"/>
        <rFont val="Tahoma"/>
        <charset val="134"/>
      </rPr>
      <t>Fae(N)(</t>
    </r>
    <r>
      <rPr>
        <sz val="11"/>
        <color theme="1"/>
        <rFont val="宋体"/>
        <charset val="134"/>
      </rPr>
      <t>向左为正</t>
    </r>
    <r>
      <rPr>
        <sz val="11"/>
        <color theme="1"/>
        <rFont val="Tahoma"/>
        <charset val="134"/>
      </rPr>
      <t>)</t>
    </r>
  </si>
  <si>
    <r>
      <rPr>
        <sz val="11"/>
        <color theme="1"/>
        <rFont val="宋体"/>
        <charset val="134"/>
      </rPr>
      <t>径向力</t>
    </r>
    <r>
      <rPr>
        <sz val="11"/>
        <color theme="1"/>
        <rFont val="Tahoma"/>
        <charset val="134"/>
      </rPr>
      <t>Fre(N)</t>
    </r>
  </si>
  <si>
    <r>
      <rPr>
        <sz val="11"/>
        <color theme="1"/>
        <rFont val="宋体"/>
        <charset val="134"/>
      </rPr>
      <t>切向力</t>
    </r>
    <r>
      <rPr>
        <sz val="11"/>
        <color theme="1"/>
        <rFont val="Tahoma"/>
        <charset val="134"/>
      </rPr>
      <t>Fte(N)</t>
    </r>
  </si>
  <si>
    <r>
      <rPr>
        <sz val="11"/>
        <color theme="1"/>
        <rFont val="宋体"/>
        <charset val="134"/>
      </rPr>
      <t>表</t>
    </r>
    <r>
      <rPr>
        <sz val="11"/>
        <color theme="1"/>
        <rFont val="Tahoma"/>
        <charset val="134"/>
      </rPr>
      <t xml:space="preserve">1  </t>
    </r>
    <r>
      <rPr>
        <sz val="11"/>
        <color theme="1"/>
        <rFont val="宋体"/>
        <charset val="134"/>
      </rPr>
      <t>轴承预期计算寿命</t>
    </r>
    <r>
      <rPr>
        <sz val="11"/>
        <color theme="1"/>
        <rFont val="Tahoma"/>
        <charset val="134"/>
      </rPr>
      <t>Lh</t>
    </r>
    <r>
      <rPr>
        <sz val="11"/>
        <color theme="1"/>
        <rFont val="宋体"/>
        <charset val="134"/>
      </rPr>
      <t>推荐值</t>
    </r>
    <r>
      <rPr>
        <sz val="11"/>
        <color theme="1"/>
        <rFont val="Tahoma"/>
        <charset val="134"/>
      </rPr>
      <t>(h)</t>
    </r>
  </si>
  <si>
    <r>
      <rPr>
        <sz val="11"/>
        <color theme="1"/>
        <rFont val="宋体"/>
        <charset val="134"/>
      </rPr>
      <t>轮节圆</t>
    </r>
    <r>
      <rPr>
        <sz val="11"/>
        <color theme="1"/>
        <rFont val="Tahoma"/>
        <charset val="134"/>
      </rPr>
      <t>d(mm)</t>
    </r>
  </si>
  <si>
    <t>使用条件</t>
  </si>
  <si>
    <t>Lh(h)</t>
  </si>
  <si>
    <t>举例</t>
  </si>
  <si>
    <r>
      <rPr>
        <sz val="11"/>
        <color theme="1"/>
        <rFont val="宋体"/>
        <charset val="134"/>
      </rPr>
      <t>距离</t>
    </r>
    <r>
      <rPr>
        <sz val="11"/>
        <color theme="1"/>
        <rFont val="Tahoma"/>
        <charset val="134"/>
      </rPr>
      <t>a(mm)</t>
    </r>
  </si>
  <si>
    <t>不经常使用的仪器和设备</t>
  </si>
  <si>
    <r>
      <rPr>
        <sz val="11"/>
        <color theme="1"/>
        <rFont val="Tahoma"/>
        <charset val="134"/>
      </rPr>
      <t>300</t>
    </r>
    <r>
      <rPr>
        <sz val="11"/>
        <color theme="1"/>
        <rFont val="宋体"/>
        <charset val="134"/>
      </rPr>
      <t>～</t>
    </r>
    <r>
      <rPr>
        <sz val="11"/>
        <color theme="1"/>
        <rFont val="Tahoma"/>
        <charset val="134"/>
      </rPr>
      <t>3K</t>
    </r>
  </si>
  <si>
    <t>闸门开闭装置</t>
  </si>
  <si>
    <r>
      <rPr>
        <sz val="11"/>
        <color theme="1"/>
        <rFont val="宋体"/>
        <charset val="134"/>
      </rPr>
      <t>距离</t>
    </r>
    <r>
      <rPr>
        <sz val="11"/>
        <color theme="1"/>
        <rFont val="Tahoma"/>
        <charset val="134"/>
      </rPr>
      <t>b(mm)</t>
    </r>
  </si>
  <si>
    <t>间断使用</t>
  </si>
  <si>
    <t>中断后果不严重</t>
  </si>
  <si>
    <r>
      <rPr>
        <sz val="11"/>
        <color theme="1"/>
        <rFont val="Tahoma"/>
        <charset val="134"/>
      </rPr>
      <t>3K</t>
    </r>
    <r>
      <rPr>
        <sz val="11"/>
        <color theme="1"/>
        <rFont val="宋体"/>
        <charset val="134"/>
      </rPr>
      <t>～</t>
    </r>
    <r>
      <rPr>
        <sz val="11"/>
        <color theme="1"/>
        <rFont val="Tahoma"/>
        <charset val="134"/>
      </rPr>
      <t>8K</t>
    </r>
  </si>
  <si>
    <t>手动工具、家用电器、电动工具、农业机械、装配吊车、回柱绞车</t>
  </si>
  <si>
    <t>轴承径向力</t>
  </si>
  <si>
    <r>
      <rPr>
        <b/>
        <sz val="11"/>
        <color rgb="FFFF0000"/>
        <rFont val="宋体"/>
        <charset val="134"/>
      </rPr>
      <t>左</t>
    </r>
    <r>
      <rPr>
        <b/>
        <sz val="11"/>
        <color theme="1"/>
        <rFont val="宋体"/>
        <charset val="134"/>
      </rPr>
      <t>轴承径向力</t>
    </r>
    <r>
      <rPr>
        <b/>
        <sz val="11"/>
        <color theme="1"/>
        <rFont val="Tahoma"/>
        <charset val="134"/>
      </rPr>
      <t>Fr1(N)</t>
    </r>
  </si>
  <si>
    <t>中断后果严重</t>
  </si>
  <si>
    <r>
      <rPr>
        <sz val="11"/>
        <color theme="1"/>
        <rFont val="Tahoma"/>
        <charset val="134"/>
      </rPr>
      <t>8K</t>
    </r>
    <r>
      <rPr>
        <sz val="11"/>
        <color theme="1"/>
        <rFont val="宋体"/>
        <charset val="134"/>
      </rPr>
      <t>～</t>
    </r>
    <r>
      <rPr>
        <sz val="11"/>
        <color theme="1"/>
        <rFont val="Tahoma"/>
        <charset val="134"/>
      </rPr>
      <t>12K</t>
    </r>
  </si>
  <si>
    <t>发动机辅助装置、流水线、升降机、吊车、家电空调器马达、建筑机械、皮带机</t>
  </si>
  <si>
    <r>
      <rPr>
        <b/>
        <sz val="11"/>
        <color rgb="FFFF0000"/>
        <rFont val="宋体"/>
        <charset val="134"/>
      </rPr>
      <t>右</t>
    </r>
    <r>
      <rPr>
        <b/>
        <sz val="11"/>
        <color theme="1"/>
        <rFont val="宋体"/>
        <charset val="134"/>
      </rPr>
      <t>轴承径向力</t>
    </r>
    <r>
      <rPr>
        <b/>
        <sz val="11"/>
        <color theme="1"/>
        <rFont val="Tahoma"/>
        <charset val="134"/>
      </rPr>
      <t>Fr2(N)</t>
    </r>
  </si>
  <si>
    <t>每天8h运转</t>
  </si>
  <si>
    <t>利用率不高</t>
  </si>
  <si>
    <r>
      <rPr>
        <sz val="11"/>
        <color theme="1"/>
        <rFont val="Tahoma"/>
        <charset val="134"/>
      </rPr>
      <t>12K</t>
    </r>
    <r>
      <rPr>
        <sz val="11"/>
        <color theme="1"/>
        <rFont val="宋体"/>
        <charset val="134"/>
      </rPr>
      <t>～</t>
    </r>
    <r>
      <rPr>
        <sz val="11"/>
        <color theme="1"/>
        <rFont val="Tahoma"/>
        <charset val="134"/>
      </rPr>
      <t>20K</t>
    </r>
  </si>
  <si>
    <t>一般齿轮装置、工厂通用电动机、自动扶梯</t>
  </si>
  <si>
    <r>
      <rPr>
        <sz val="11"/>
        <color theme="1"/>
        <rFont val="宋体"/>
        <charset val="134"/>
      </rPr>
      <t>两端为深沟球轴承时</t>
    </r>
    <r>
      <rPr>
        <b/>
        <sz val="11"/>
        <color theme="1"/>
        <rFont val="宋体"/>
        <charset val="134"/>
      </rPr>
      <t>轴向力</t>
    </r>
    <r>
      <rPr>
        <b/>
        <sz val="11"/>
        <color theme="1"/>
        <rFont val="Tahoma"/>
        <charset val="134"/>
      </rPr>
      <t>Fa(N)</t>
    </r>
  </si>
  <si>
    <t>Fa1=Fa2=Fa</t>
  </si>
  <si>
    <t>利用率高</t>
  </si>
  <si>
    <r>
      <rPr>
        <sz val="11"/>
        <color theme="1"/>
        <rFont val="Tahoma"/>
        <charset val="134"/>
      </rPr>
      <t>20K</t>
    </r>
    <r>
      <rPr>
        <sz val="11"/>
        <color theme="1"/>
        <rFont val="宋体"/>
        <charset val="134"/>
      </rPr>
      <t>～</t>
    </r>
    <r>
      <rPr>
        <sz val="11"/>
        <color theme="1"/>
        <rFont val="Tahoma"/>
        <charset val="134"/>
      </rPr>
      <t>30K</t>
    </r>
  </si>
  <si>
    <t>机床、振动筛、破碎机、连续使用的起重机、离心电动机、空调设备、鼓风机、木工机械、铁路车辆车轴、印刷机械</t>
  </si>
  <si>
    <r>
      <rPr>
        <sz val="11"/>
        <color theme="1"/>
        <rFont val="宋体"/>
        <charset val="134"/>
      </rPr>
      <t>两端为</t>
    </r>
    <r>
      <rPr>
        <sz val="11"/>
        <color theme="1"/>
        <rFont val="Tahoma"/>
        <charset val="134"/>
      </rPr>
      <t>7000AC</t>
    </r>
    <r>
      <rPr>
        <sz val="11"/>
        <color theme="1"/>
        <rFont val="宋体"/>
        <charset val="134"/>
      </rPr>
      <t>或</t>
    </r>
    <r>
      <rPr>
        <sz val="11"/>
        <color theme="1"/>
        <rFont val="Tahoma"/>
        <charset val="134"/>
      </rPr>
      <t>7000B</t>
    </r>
    <r>
      <rPr>
        <sz val="11"/>
        <color theme="1"/>
        <rFont val="宋体"/>
        <charset val="134"/>
      </rPr>
      <t>时的轴向力</t>
    </r>
  </si>
  <si>
    <t>轴承类型</t>
  </si>
  <si>
    <t>7000AC</t>
  </si>
  <si>
    <t>24H连续运作机械</t>
  </si>
  <si>
    <r>
      <rPr>
        <sz val="11"/>
        <color theme="1"/>
        <rFont val="Tahoma"/>
        <charset val="134"/>
      </rPr>
      <t>40K</t>
    </r>
    <r>
      <rPr>
        <sz val="11"/>
        <color theme="1"/>
        <rFont val="宋体"/>
        <charset val="134"/>
      </rPr>
      <t>～</t>
    </r>
    <r>
      <rPr>
        <sz val="11"/>
        <color theme="1"/>
        <rFont val="Tahoma"/>
        <charset val="134"/>
      </rPr>
      <t>60K</t>
    </r>
  </si>
  <si>
    <t>矿山升降机、纺织机械、泵、电机</t>
  </si>
  <si>
    <r>
      <rPr>
        <b/>
        <sz val="11"/>
        <color rgb="FFFF0000"/>
        <rFont val="宋体"/>
        <charset val="134"/>
      </rPr>
      <t>左</t>
    </r>
    <r>
      <rPr>
        <sz val="11"/>
        <color theme="1"/>
        <rFont val="宋体"/>
        <charset val="134"/>
      </rPr>
      <t>轴承派生轴向力</t>
    </r>
    <r>
      <rPr>
        <sz val="11"/>
        <color theme="1"/>
        <rFont val="Tahoma"/>
        <charset val="134"/>
      </rPr>
      <t>Fd1(N)</t>
    </r>
  </si>
  <si>
    <t>100K~200K</t>
  </si>
  <si>
    <t>纤维生产或造纸设备、发电站主电机、矿井水泵、船舶螺旋桨轴、自来水设备</t>
  </si>
  <si>
    <r>
      <rPr>
        <b/>
        <sz val="11"/>
        <color rgb="FFFF0000"/>
        <rFont val="宋体"/>
        <charset val="134"/>
      </rPr>
      <t>右</t>
    </r>
    <r>
      <rPr>
        <sz val="11"/>
        <color theme="1"/>
        <rFont val="宋体"/>
        <charset val="134"/>
      </rPr>
      <t>轴承派生轴向力</t>
    </r>
    <r>
      <rPr>
        <sz val="11"/>
        <color theme="1"/>
        <rFont val="Tahoma"/>
        <charset val="134"/>
      </rPr>
      <t>Fd2(N)</t>
    </r>
  </si>
  <si>
    <r>
      <rPr>
        <sz val="11"/>
        <color theme="1"/>
        <rFont val="宋体"/>
        <charset val="134"/>
      </rPr>
      <t>根据</t>
    </r>
    <r>
      <rPr>
        <sz val="11"/>
        <color theme="1"/>
        <rFont val="Tahoma"/>
        <charset val="134"/>
      </rPr>
      <t>Fae</t>
    </r>
    <r>
      <rPr>
        <sz val="11"/>
        <color theme="1"/>
        <rFont val="宋体"/>
        <charset val="134"/>
      </rPr>
      <t>判断被压紧轴承</t>
    </r>
  </si>
  <si>
    <t>左侧轴承被压紧</t>
  </si>
  <si>
    <r>
      <rPr>
        <sz val="11"/>
        <color theme="1"/>
        <rFont val="宋体"/>
        <charset val="134"/>
      </rPr>
      <t>表</t>
    </r>
    <r>
      <rPr>
        <sz val="11"/>
        <color theme="1"/>
        <rFont val="Tahoma"/>
        <charset val="134"/>
      </rPr>
      <t xml:space="preserve">2 </t>
    </r>
    <r>
      <rPr>
        <sz val="11"/>
        <color theme="1"/>
        <rFont val="宋体"/>
        <charset val="134"/>
      </rPr>
      <t>径向动载荷系数</t>
    </r>
    <r>
      <rPr>
        <sz val="11"/>
        <color theme="1"/>
        <rFont val="Tahoma"/>
        <charset val="134"/>
      </rPr>
      <t>X</t>
    </r>
    <r>
      <rPr>
        <sz val="11"/>
        <color theme="1"/>
        <rFont val="宋体"/>
        <charset val="134"/>
      </rPr>
      <t>和轴向动载荷系数</t>
    </r>
    <r>
      <rPr>
        <sz val="11"/>
        <color theme="1"/>
        <rFont val="Tahoma"/>
        <charset val="134"/>
      </rPr>
      <t>Y</t>
    </r>
  </si>
  <si>
    <r>
      <rPr>
        <sz val="11"/>
        <color theme="1"/>
        <rFont val="宋体"/>
        <charset val="134"/>
      </rPr>
      <t>表</t>
    </r>
    <r>
      <rPr>
        <sz val="11"/>
        <color theme="1"/>
        <rFont val="Tahoma"/>
        <charset val="134"/>
      </rPr>
      <t>2</t>
    </r>
    <r>
      <rPr>
        <sz val="11"/>
        <color theme="1"/>
        <rFont val="宋体"/>
        <charset val="134"/>
      </rPr>
      <t>附</t>
    </r>
    <r>
      <rPr>
        <sz val="11"/>
        <color theme="1"/>
        <rFont val="Tahoma"/>
        <charset val="134"/>
      </rPr>
      <t xml:space="preserve">1 </t>
    </r>
    <r>
      <rPr>
        <sz val="11"/>
        <color theme="1"/>
        <rFont val="宋体"/>
        <charset val="134"/>
      </rPr>
      <t>已知</t>
    </r>
    <r>
      <rPr>
        <sz val="11"/>
        <color theme="1"/>
        <rFont val="Tahoma"/>
        <charset val="134"/>
      </rPr>
      <t>Fa/C0</t>
    </r>
    <r>
      <rPr>
        <sz val="11"/>
        <color theme="1"/>
        <rFont val="宋体"/>
        <charset val="134"/>
      </rPr>
      <t>用插值法自动计算</t>
    </r>
    <r>
      <rPr>
        <sz val="11"/>
        <color theme="1"/>
        <rFont val="Tahoma"/>
        <charset val="134"/>
      </rPr>
      <t>e</t>
    </r>
    <r>
      <rPr>
        <sz val="11"/>
        <color theme="1"/>
        <rFont val="宋体"/>
        <charset val="134"/>
      </rPr>
      <t>和</t>
    </r>
    <r>
      <rPr>
        <sz val="11"/>
        <color theme="1"/>
        <rFont val="Tahoma"/>
        <charset val="134"/>
      </rPr>
      <t>Y</t>
    </r>
  </si>
  <si>
    <t>轴承代号</t>
  </si>
  <si>
    <t>相对轴向载荷</t>
  </si>
  <si>
    <t>判断系数
e</t>
  </si>
  <si>
    <t>Fa/Fr≤e</t>
  </si>
  <si>
    <t>Fa/Fr&gt;e</t>
  </si>
  <si>
    <t>项目</t>
  </si>
  <si>
    <r>
      <rPr>
        <sz val="11"/>
        <color theme="1"/>
        <rFont val="Tahoma"/>
        <charset val="134"/>
      </rPr>
      <t>Fa/C0</t>
    </r>
    <r>
      <rPr>
        <sz val="11"/>
        <color theme="1"/>
        <rFont val="宋体"/>
        <charset val="134"/>
      </rPr>
      <t>值</t>
    </r>
  </si>
  <si>
    <t>对应e值</t>
  </si>
  <si>
    <r>
      <rPr>
        <sz val="11"/>
        <color theme="1"/>
        <rFont val="宋体"/>
        <charset val="134"/>
      </rPr>
      <t>对应</t>
    </r>
    <r>
      <rPr>
        <sz val="11"/>
        <color theme="1"/>
        <rFont val="Tahoma"/>
        <charset val="134"/>
      </rPr>
      <t>Y</t>
    </r>
    <r>
      <rPr>
        <sz val="11"/>
        <color theme="1"/>
        <rFont val="宋体"/>
        <charset val="134"/>
      </rPr>
      <t>值</t>
    </r>
  </si>
  <si>
    <t>Fa/C0</t>
  </si>
  <si>
    <t>X</t>
  </si>
  <si>
    <t>Y</t>
  </si>
  <si>
    <t>所求值</t>
  </si>
  <si>
    <t>两端为7000C时的轴向力</t>
  </si>
  <si>
    <t>轴承型号(查样本)</t>
  </si>
  <si>
    <t>7207C</t>
  </si>
  <si>
    <t>深沟球轴承</t>
  </si>
  <si>
    <r>
      <rPr>
        <sz val="11"/>
        <color theme="1"/>
        <rFont val="宋体"/>
        <charset val="134"/>
      </rPr>
      <t>基准</t>
    </r>
    <r>
      <rPr>
        <sz val="11"/>
        <color theme="1"/>
        <rFont val="Tahoma"/>
        <charset val="134"/>
      </rPr>
      <t>1</t>
    </r>
  </si>
  <si>
    <r>
      <rPr>
        <sz val="11"/>
        <color theme="1"/>
        <rFont val="宋体"/>
        <charset val="134"/>
      </rPr>
      <t>基本额定静载荷</t>
    </r>
    <r>
      <rPr>
        <sz val="11"/>
        <color theme="1"/>
        <rFont val="Tahoma"/>
        <charset val="134"/>
      </rPr>
      <t>C0(N)</t>
    </r>
  </si>
  <si>
    <r>
      <rPr>
        <sz val="11"/>
        <color theme="1"/>
        <rFont val="宋体"/>
        <charset val="134"/>
      </rPr>
      <t>基准</t>
    </r>
    <r>
      <rPr>
        <sz val="11"/>
        <color theme="1"/>
        <rFont val="Tahoma"/>
        <charset val="134"/>
      </rPr>
      <t>2</t>
    </r>
  </si>
  <si>
    <r>
      <rPr>
        <sz val="11"/>
        <color theme="1"/>
        <rFont val="宋体"/>
        <charset val="134"/>
      </rPr>
      <t>估算</t>
    </r>
    <r>
      <rPr>
        <sz val="11"/>
        <color theme="1"/>
        <rFont val="Tahoma"/>
        <charset val="134"/>
      </rPr>
      <t>e</t>
    </r>
    <r>
      <rPr>
        <sz val="11"/>
        <color theme="1"/>
        <rFont val="宋体"/>
        <charset val="134"/>
      </rPr>
      <t>值</t>
    </r>
    <r>
      <rPr>
        <sz val="11"/>
        <color theme="1"/>
        <rFont val="Tahoma"/>
        <charset val="134"/>
      </rPr>
      <t>(</t>
    </r>
    <r>
      <rPr>
        <sz val="11"/>
        <color theme="1"/>
        <rFont val="宋体"/>
        <charset val="134"/>
      </rPr>
      <t>首次取</t>
    </r>
    <r>
      <rPr>
        <sz val="11"/>
        <color theme="1"/>
        <rFont val="Tahoma"/>
        <charset val="134"/>
      </rPr>
      <t>0.45)</t>
    </r>
  </si>
  <si>
    <t>在左侧填入数值</t>
  </si>
  <si>
    <r>
      <rPr>
        <sz val="11"/>
        <color theme="1"/>
        <rFont val="宋体"/>
        <charset val="134"/>
      </rPr>
      <t>估算</t>
    </r>
    <r>
      <rPr>
        <b/>
        <sz val="11"/>
        <color rgb="FFFF0000"/>
        <rFont val="宋体"/>
        <charset val="134"/>
      </rPr>
      <t>左</t>
    </r>
    <r>
      <rPr>
        <sz val="11"/>
        <color theme="1"/>
        <rFont val="Tahoma"/>
        <charset val="134"/>
      </rPr>
      <t>Fd1(N)</t>
    </r>
  </si>
  <si>
    <r>
      <rPr>
        <sz val="11"/>
        <color theme="1"/>
        <rFont val="宋体"/>
        <charset val="134"/>
      </rPr>
      <t>表</t>
    </r>
    <r>
      <rPr>
        <sz val="11"/>
        <color theme="1"/>
        <rFont val="Tahoma"/>
        <charset val="134"/>
      </rPr>
      <t>2</t>
    </r>
    <r>
      <rPr>
        <sz val="11"/>
        <color theme="1"/>
        <rFont val="宋体"/>
        <charset val="134"/>
      </rPr>
      <t>附</t>
    </r>
    <r>
      <rPr>
        <sz val="11"/>
        <color theme="1"/>
        <rFont val="Tahoma"/>
        <charset val="134"/>
      </rPr>
      <t xml:space="preserve">2 </t>
    </r>
    <r>
      <rPr>
        <sz val="11"/>
        <color theme="1"/>
        <rFont val="宋体"/>
        <charset val="134"/>
      </rPr>
      <t>已知</t>
    </r>
    <r>
      <rPr>
        <sz val="11"/>
        <color theme="1"/>
        <rFont val="Tahoma"/>
        <charset val="134"/>
      </rPr>
      <t>Fa/C0</t>
    </r>
    <r>
      <rPr>
        <sz val="11"/>
        <color theme="1"/>
        <rFont val="宋体"/>
        <charset val="134"/>
      </rPr>
      <t>用插值法自动计算</t>
    </r>
    <r>
      <rPr>
        <sz val="11"/>
        <color theme="1"/>
        <rFont val="Tahoma"/>
        <charset val="134"/>
      </rPr>
      <t>7000C</t>
    </r>
    <r>
      <rPr>
        <sz val="11"/>
        <color theme="1"/>
        <rFont val="宋体"/>
        <charset val="134"/>
      </rPr>
      <t>轴承</t>
    </r>
    <r>
      <rPr>
        <sz val="11"/>
        <color theme="1"/>
        <rFont val="Tahoma"/>
        <charset val="134"/>
      </rPr>
      <t>e</t>
    </r>
    <r>
      <rPr>
        <sz val="11"/>
        <color theme="1"/>
        <rFont val="宋体"/>
        <charset val="134"/>
      </rPr>
      <t>和</t>
    </r>
    <r>
      <rPr>
        <sz val="11"/>
        <color theme="1"/>
        <rFont val="Tahoma"/>
        <charset val="134"/>
      </rPr>
      <t>Y</t>
    </r>
  </si>
  <si>
    <r>
      <rPr>
        <sz val="11"/>
        <color theme="1"/>
        <rFont val="宋体"/>
        <charset val="134"/>
      </rPr>
      <t>估算</t>
    </r>
    <r>
      <rPr>
        <b/>
        <sz val="11"/>
        <color rgb="FFFF0000"/>
        <rFont val="宋体"/>
        <charset val="134"/>
      </rPr>
      <t>右</t>
    </r>
    <r>
      <rPr>
        <sz val="11"/>
        <color theme="1"/>
        <rFont val="Tahoma"/>
        <charset val="134"/>
      </rPr>
      <t>Fd2(N)</t>
    </r>
  </si>
  <si>
    <t>右侧轴承被压紧</t>
  </si>
  <si>
    <t>角接触轴承</t>
  </si>
  <si>
    <t>70000C
(α=15°)</t>
  </si>
  <si>
    <r>
      <rPr>
        <sz val="11"/>
        <color theme="1"/>
        <rFont val="宋体"/>
        <charset val="134"/>
      </rPr>
      <t>表</t>
    </r>
    <r>
      <rPr>
        <sz val="11"/>
        <color theme="1"/>
        <rFont val="Tahoma"/>
        <charset val="134"/>
      </rPr>
      <t>2</t>
    </r>
    <r>
      <rPr>
        <sz val="11"/>
        <color theme="1"/>
        <rFont val="宋体"/>
        <charset val="134"/>
      </rPr>
      <t>附</t>
    </r>
    <r>
      <rPr>
        <sz val="11"/>
        <color theme="1"/>
        <rFont val="Tahoma"/>
        <charset val="134"/>
      </rPr>
      <t xml:space="preserve">3 </t>
    </r>
    <r>
      <rPr>
        <sz val="11"/>
        <color theme="1"/>
        <rFont val="宋体"/>
        <charset val="134"/>
      </rPr>
      <t>已知</t>
    </r>
    <r>
      <rPr>
        <sz val="11"/>
        <color theme="1"/>
        <rFont val="Tahoma"/>
        <charset val="134"/>
      </rPr>
      <t>Fa/C0</t>
    </r>
    <r>
      <rPr>
        <sz val="11"/>
        <color theme="1"/>
        <rFont val="宋体"/>
        <charset val="134"/>
      </rPr>
      <t>用插值法自动计算</t>
    </r>
    <r>
      <rPr>
        <sz val="11"/>
        <color theme="1"/>
        <rFont val="Tahoma"/>
        <charset val="134"/>
      </rPr>
      <t>7000C</t>
    </r>
    <r>
      <rPr>
        <sz val="11"/>
        <color theme="1"/>
        <rFont val="宋体"/>
        <charset val="134"/>
      </rPr>
      <t>轴承</t>
    </r>
    <r>
      <rPr>
        <sz val="11"/>
        <color theme="1"/>
        <rFont val="Tahoma"/>
        <charset val="134"/>
      </rPr>
      <t>e</t>
    </r>
    <r>
      <rPr>
        <sz val="11"/>
        <color theme="1"/>
        <rFont val="宋体"/>
        <charset val="134"/>
      </rPr>
      <t>和</t>
    </r>
    <r>
      <rPr>
        <sz val="11"/>
        <color theme="1"/>
        <rFont val="Tahoma"/>
        <charset val="134"/>
      </rPr>
      <t>Y</t>
    </r>
  </si>
  <si>
    <r>
      <rPr>
        <sz val="11"/>
        <color theme="1"/>
        <rFont val="Tahoma"/>
        <charset val="134"/>
      </rPr>
      <t>Fa1/C0</t>
    </r>
    <r>
      <rPr>
        <sz val="11"/>
        <color theme="1"/>
        <rFont val="宋体"/>
        <charset val="134"/>
      </rPr>
      <t>值</t>
    </r>
  </si>
  <si>
    <t>对应e1值</t>
  </si>
  <si>
    <r>
      <rPr>
        <sz val="11"/>
        <color theme="1"/>
        <rFont val="宋体"/>
        <charset val="134"/>
      </rPr>
      <t>受力分析中</t>
    </r>
    <r>
      <rPr>
        <sz val="11"/>
        <color theme="1"/>
        <rFont val="Tahoma"/>
        <charset val="134"/>
      </rPr>
      <t>7000C</t>
    </r>
    <r>
      <rPr>
        <sz val="11"/>
        <color theme="1"/>
        <rFont val="宋体"/>
        <charset val="134"/>
      </rPr>
      <t>中用</t>
    </r>
  </si>
  <si>
    <r>
      <rPr>
        <sz val="11"/>
        <color theme="1"/>
        <rFont val="Tahoma"/>
        <charset val="134"/>
      </rPr>
      <t>Fa2/C0</t>
    </r>
    <r>
      <rPr>
        <sz val="11"/>
        <color theme="1"/>
        <rFont val="宋体"/>
        <charset val="134"/>
      </rPr>
      <t>值</t>
    </r>
  </si>
  <si>
    <t>对应e2值</t>
  </si>
  <si>
    <t>70000AC(25°)</t>
  </si>
  <si>
    <t>-</t>
  </si>
  <si>
    <t>两端为圆锥滚子轴承时的轴向力</t>
  </si>
  <si>
    <t>轴承型号</t>
  </si>
  <si>
    <t>70000B(40°)</t>
  </si>
  <si>
    <r>
      <rPr>
        <sz val="11"/>
        <color theme="1"/>
        <rFont val="宋体"/>
        <charset val="134"/>
      </rPr>
      <t>圆锥滚子轴承</t>
    </r>
    <r>
      <rPr>
        <sz val="11"/>
        <color theme="1"/>
        <rFont val="Tahoma"/>
        <charset val="134"/>
      </rPr>
      <t>Y1</t>
    </r>
    <r>
      <rPr>
        <sz val="11"/>
        <color theme="1"/>
        <rFont val="宋体"/>
        <charset val="134"/>
      </rPr>
      <t>值</t>
    </r>
  </si>
  <si>
    <t>圆锥滚子轴承</t>
  </si>
  <si>
    <t>查样本</t>
  </si>
  <si>
    <t>查样本Y1</t>
  </si>
  <si>
    <r>
      <rPr>
        <sz val="11"/>
        <color theme="1"/>
        <rFont val="宋体"/>
        <charset val="134"/>
      </rPr>
      <t>左轴承派生轴向力</t>
    </r>
    <r>
      <rPr>
        <sz val="11"/>
        <color theme="1"/>
        <rFont val="Tahoma"/>
        <charset val="134"/>
      </rPr>
      <t>Fd1(N)</t>
    </r>
  </si>
  <si>
    <t>调心滚子轴承</t>
  </si>
  <si>
    <r>
      <rPr>
        <sz val="11"/>
        <color theme="1"/>
        <rFont val="宋体"/>
        <charset val="134"/>
      </rPr>
      <t>右轴承派生轴向力</t>
    </r>
    <r>
      <rPr>
        <sz val="11"/>
        <color theme="1"/>
        <rFont val="Tahoma"/>
        <charset val="134"/>
      </rPr>
      <t>Fd2(N)</t>
    </r>
  </si>
  <si>
    <t>调心球轴承</t>
  </si>
  <si>
    <r>
      <rPr>
        <sz val="11"/>
        <color theme="1"/>
        <rFont val="宋体"/>
        <charset val="134"/>
      </rPr>
      <t>表</t>
    </r>
    <r>
      <rPr>
        <sz val="11"/>
        <color theme="1"/>
        <rFont val="Tahoma"/>
        <charset val="134"/>
      </rPr>
      <t xml:space="preserve">3 </t>
    </r>
    <r>
      <rPr>
        <sz val="11"/>
        <color theme="1"/>
        <rFont val="宋体"/>
        <charset val="134"/>
      </rPr>
      <t>轴承载荷系数</t>
    </r>
    <r>
      <rPr>
        <sz val="11"/>
        <color theme="1"/>
        <rFont val="Tahoma"/>
        <charset val="134"/>
      </rPr>
      <t>fp</t>
    </r>
  </si>
  <si>
    <t>载荷性质</t>
  </si>
  <si>
    <t>fp</t>
  </si>
  <si>
    <r>
      <rPr>
        <sz val="11"/>
        <color theme="1"/>
        <rFont val="宋体"/>
        <charset val="134"/>
      </rPr>
      <t>将以上计算的</t>
    </r>
    <r>
      <rPr>
        <sz val="11"/>
        <color theme="1"/>
        <rFont val="Tahoma"/>
        <charset val="134"/>
      </rPr>
      <t>Fr</t>
    </r>
    <r>
      <rPr>
        <sz val="11"/>
        <color theme="1"/>
        <rFont val="宋体"/>
        <charset val="134"/>
      </rPr>
      <t>和</t>
    </r>
    <r>
      <rPr>
        <sz val="11"/>
        <color theme="1"/>
        <rFont val="Tahoma"/>
        <charset val="134"/>
      </rPr>
      <t>Fa</t>
    </r>
    <r>
      <rPr>
        <sz val="11"/>
        <color theme="1"/>
        <rFont val="宋体"/>
        <charset val="134"/>
      </rPr>
      <t>的较大值带入下方对应表格计算</t>
    </r>
  </si>
  <si>
    <r>
      <rPr>
        <sz val="11"/>
        <color theme="1"/>
        <rFont val="宋体"/>
        <charset val="134"/>
      </rPr>
      <t>无</t>
    </r>
    <r>
      <rPr>
        <sz val="11"/>
        <color theme="1"/>
        <rFont val="Tahoma"/>
        <charset val="134"/>
      </rPr>
      <t>/</t>
    </r>
    <r>
      <rPr>
        <sz val="11"/>
        <color theme="1"/>
        <rFont val="宋体"/>
        <charset val="134"/>
      </rPr>
      <t>轻微冲击</t>
    </r>
  </si>
  <si>
    <t>1.0~1.2</t>
  </si>
  <si>
    <t>电动机、汽轮机、通风机、水泵</t>
  </si>
  <si>
    <r>
      <rPr>
        <b/>
        <sz val="12"/>
        <color rgb="FFFF0000"/>
        <rFont val="宋体"/>
        <charset val="134"/>
      </rPr>
      <t>深沟球轴承</t>
    </r>
    <r>
      <rPr>
        <b/>
        <sz val="12"/>
        <rFont val="宋体"/>
        <charset val="134"/>
      </rPr>
      <t>(6系)</t>
    </r>
    <r>
      <rPr>
        <b/>
        <sz val="12"/>
        <color rgb="FF7030A0"/>
        <rFont val="宋体"/>
        <charset val="134"/>
      </rPr>
      <t>校核计算</t>
    </r>
  </si>
  <si>
    <t>中等或中等惯性冲击</t>
  </si>
  <si>
    <t>1.2~1.8</t>
  </si>
  <si>
    <t>车辆、机床、动力机械、起重机、造纸机、冶金机械、选矿机、卷扬机</t>
  </si>
  <si>
    <r>
      <rPr>
        <sz val="11"/>
        <color theme="1"/>
        <rFont val="宋体"/>
        <charset val="134"/>
      </rPr>
      <t>步骤</t>
    </r>
  </si>
  <si>
    <r>
      <rPr>
        <sz val="11"/>
        <color theme="1"/>
        <rFont val="宋体"/>
        <charset val="134"/>
      </rPr>
      <t>参数</t>
    </r>
  </si>
  <si>
    <r>
      <rPr>
        <sz val="11"/>
        <color theme="1"/>
        <rFont val="宋体"/>
        <charset val="134"/>
      </rPr>
      <t>取值</t>
    </r>
  </si>
  <si>
    <r>
      <rPr>
        <sz val="11"/>
        <color theme="1"/>
        <rFont val="宋体"/>
        <charset val="134"/>
      </rPr>
      <t>备注</t>
    </r>
  </si>
  <si>
    <t>强大冲击</t>
  </si>
  <si>
    <t>1.8~3.0</t>
  </si>
  <si>
    <t>破碎机、轧钢机、钻探机、振动筛</t>
  </si>
  <si>
    <t>径向载荷Fr(N)</t>
  </si>
  <si>
    <t>表4 温度系数ft</t>
  </si>
  <si>
    <t>轴向载荷Fa(N)</t>
  </si>
  <si>
    <r>
      <rPr>
        <sz val="11"/>
        <color theme="1"/>
        <rFont val="宋体"/>
        <charset val="134"/>
      </rPr>
      <t>工作温度</t>
    </r>
    <r>
      <rPr>
        <sz val="11"/>
        <color theme="1"/>
        <rFont val="Tahoma"/>
        <charset val="134"/>
      </rPr>
      <t>(</t>
    </r>
    <r>
      <rPr>
        <i/>
        <sz val="10.5"/>
        <color theme="1"/>
        <rFont val="仿宋"/>
        <charset val="134"/>
      </rPr>
      <t>℃</t>
    </r>
    <r>
      <rPr>
        <i/>
        <sz val="10.5"/>
        <color theme="1"/>
        <rFont val="Tahoma"/>
        <charset val="134"/>
      </rPr>
      <t>)</t>
    </r>
  </si>
  <si>
    <r>
      <rPr>
        <sz val="11"/>
        <color theme="1"/>
        <rFont val="宋体"/>
        <charset val="134"/>
      </rPr>
      <t>≤</t>
    </r>
    <r>
      <rPr>
        <sz val="11"/>
        <color theme="1"/>
        <rFont val="Tahoma"/>
        <charset val="134"/>
      </rPr>
      <t>120</t>
    </r>
  </si>
  <si>
    <t>转速n(r/min)</t>
  </si>
  <si>
    <t>ft</t>
  </si>
  <si>
    <t>预期计算寿命Lh(h)</t>
  </si>
  <si>
    <r>
      <rPr>
        <sz val="11"/>
        <color theme="1"/>
        <rFont val="宋体"/>
        <charset val="134"/>
      </rPr>
      <t>参考表</t>
    </r>
    <r>
      <rPr>
        <sz val="11"/>
        <color theme="1"/>
        <rFont val="Tahoma"/>
        <charset val="134"/>
      </rPr>
      <t>1</t>
    </r>
  </si>
  <si>
    <r>
      <rPr>
        <sz val="11"/>
        <color theme="1"/>
        <rFont val="宋体"/>
        <charset val="134"/>
      </rPr>
      <t>要求轴承孔径</t>
    </r>
    <r>
      <rPr>
        <sz val="11"/>
        <color theme="1"/>
        <rFont val="Tahoma"/>
        <charset val="134"/>
      </rPr>
      <t>(mm)</t>
    </r>
  </si>
  <si>
    <r>
      <rPr>
        <sz val="11"/>
        <color theme="1"/>
        <rFont val="宋体"/>
        <charset val="134"/>
      </rPr>
      <t>表5</t>
    </r>
    <r>
      <rPr>
        <sz val="11"/>
        <color theme="1"/>
        <rFont val="Tahoma"/>
        <charset val="134"/>
      </rPr>
      <t xml:space="preserve"> NHK</t>
    </r>
    <r>
      <rPr>
        <sz val="11"/>
        <color theme="1"/>
        <rFont val="宋体"/>
        <charset val="134"/>
      </rPr>
      <t>深沟球轴承样本截图</t>
    </r>
  </si>
  <si>
    <t>1,按安装尺寸或受力分析初选轴承</t>
  </si>
  <si>
    <t>查样本，如表5</t>
  </si>
  <si>
    <r>
      <rPr>
        <sz val="11"/>
        <color theme="1"/>
        <rFont val="宋体"/>
        <charset val="134"/>
      </rPr>
      <t>基本额定动载荷</t>
    </r>
    <r>
      <rPr>
        <sz val="11"/>
        <color theme="1"/>
        <rFont val="Tahoma"/>
        <charset val="134"/>
      </rPr>
      <t>Cr(N)</t>
    </r>
  </si>
  <si>
    <t>2,计算当量动载荷P</t>
  </si>
  <si>
    <t>相对轴向载荷Fa/C0</t>
  </si>
  <si>
    <r>
      <rPr>
        <sz val="11"/>
        <color theme="1"/>
        <rFont val="Tahoma"/>
        <charset val="134"/>
      </rPr>
      <t>e</t>
    </r>
    <r>
      <rPr>
        <sz val="11"/>
        <color theme="1"/>
        <rFont val="宋体"/>
        <charset val="134"/>
      </rPr>
      <t>值</t>
    </r>
  </si>
  <si>
    <t>表2附1自动计算</t>
  </si>
  <si>
    <r>
      <rPr>
        <sz val="11"/>
        <color theme="1"/>
        <rFont val="宋体"/>
        <charset val="134"/>
      </rPr>
      <t>轴径载荷比</t>
    </r>
    <r>
      <rPr>
        <sz val="11"/>
        <color theme="1"/>
        <rFont val="Tahoma"/>
        <charset val="134"/>
      </rPr>
      <t>Fa/Fr</t>
    </r>
  </si>
  <si>
    <t>对比Fa/Fr与e</t>
  </si>
  <si>
    <t>径向动载荷系数X</t>
  </si>
  <si>
    <t>表2</t>
  </si>
  <si>
    <r>
      <rPr>
        <sz val="11"/>
        <color theme="1"/>
        <rFont val="宋体"/>
        <charset val="134"/>
      </rPr>
      <t>轴向动载荷系数</t>
    </r>
    <r>
      <rPr>
        <sz val="11"/>
        <color theme="1"/>
        <rFont val="Tahoma"/>
        <charset val="134"/>
      </rPr>
      <t>Y</t>
    </r>
  </si>
  <si>
    <r>
      <rPr>
        <sz val="11"/>
        <color theme="1"/>
        <rFont val="Tahoma"/>
        <charset val="134"/>
      </rPr>
      <t>NHK</t>
    </r>
    <r>
      <rPr>
        <sz val="11"/>
        <color theme="1"/>
        <rFont val="宋体"/>
        <charset val="134"/>
      </rPr>
      <t>圆锥滚子轴承样本截图</t>
    </r>
  </si>
  <si>
    <r>
      <rPr>
        <sz val="11"/>
        <color theme="1"/>
        <rFont val="Tahoma"/>
        <charset val="134"/>
      </rPr>
      <t>Y0</t>
    </r>
    <r>
      <rPr>
        <sz val="11"/>
        <color theme="1"/>
        <rFont val="宋体"/>
        <charset val="134"/>
      </rPr>
      <t>当量轴向</t>
    </r>
    <r>
      <rPr>
        <sz val="11"/>
        <color rgb="FFFF0000"/>
        <rFont val="宋体"/>
        <charset val="134"/>
      </rPr>
      <t>静</t>
    </r>
    <r>
      <rPr>
        <sz val="11"/>
        <color theme="1"/>
        <rFont val="宋体"/>
        <charset val="134"/>
      </rPr>
      <t>载荷系数，</t>
    </r>
    <r>
      <rPr>
        <sz val="11"/>
        <color theme="1"/>
        <rFont val="Tahoma"/>
        <charset val="134"/>
      </rPr>
      <t>Y1</t>
    </r>
    <r>
      <rPr>
        <sz val="11"/>
        <color theme="1"/>
        <rFont val="宋体"/>
        <charset val="134"/>
      </rPr>
      <t>当量轴向</t>
    </r>
    <r>
      <rPr>
        <sz val="11"/>
        <color rgb="FFFF0000"/>
        <rFont val="宋体"/>
        <charset val="134"/>
      </rPr>
      <t>动</t>
    </r>
    <r>
      <rPr>
        <sz val="11"/>
        <color theme="1"/>
        <rFont val="宋体"/>
        <charset val="134"/>
      </rPr>
      <t>载荷系数</t>
    </r>
  </si>
  <si>
    <r>
      <rPr>
        <sz val="11"/>
        <color theme="1"/>
        <rFont val="宋体"/>
        <charset val="134"/>
      </rPr>
      <t>载荷系数</t>
    </r>
    <r>
      <rPr>
        <sz val="11"/>
        <color theme="1"/>
        <rFont val="Tahoma"/>
        <charset val="134"/>
      </rPr>
      <t>fp</t>
    </r>
  </si>
  <si>
    <r>
      <rPr>
        <sz val="11"/>
        <color theme="1"/>
        <rFont val="宋体"/>
        <charset val="134"/>
      </rPr>
      <t>表</t>
    </r>
    <r>
      <rPr>
        <sz val="11"/>
        <color theme="1"/>
        <rFont val="Tahoma"/>
        <charset val="134"/>
      </rPr>
      <t>3</t>
    </r>
  </si>
  <si>
    <r>
      <rPr>
        <sz val="11"/>
        <color theme="1"/>
        <rFont val="宋体"/>
        <charset val="134"/>
      </rPr>
      <t>温度系数</t>
    </r>
    <r>
      <rPr>
        <sz val="11"/>
        <color theme="1"/>
        <rFont val="Tahoma"/>
        <charset val="134"/>
      </rPr>
      <t>ft</t>
    </r>
  </si>
  <si>
    <r>
      <rPr>
        <sz val="11"/>
        <color theme="1"/>
        <rFont val="宋体"/>
        <charset val="134"/>
      </rPr>
      <t>表</t>
    </r>
    <r>
      <rPr>
        <sz val="11"/>
        <color theme="1"/>
        <rFont val="Tahoma"/>
        <charset val="134"/>
      </rPr>
      <t>4</t>
    </r>
  </si>
  <si>
    <r>
      <rPr>
        <sz val="11"/>
        <color theme="1"/>
        <rFont val="宋体"/>
        <charset val="134"/>
      </rPr>
      <t>当量动载荷</t>
    </r>
    <r>
      <rPr>
        <sz val="11"/>
        <color theme="1"/>
        <rFont val="Tahoma"/>
        <charset val="134"/>
      </rPr>
      <t>P(N)</t>
    </r>
  </si>
  <si>
    <t>P=fp(XFr+YFa)</t>
  </si>
  <si>
    <t>3，校核轴承额定动载荷或使用寿命</t>
  </si>
  <si>
    <t>指数ε</t>
  </si>
  <si>
    <r>
      <rPr>
        <sz val="11"/>
        <color theme="1"/>
        <rFont val="宋体"/>
        <charset val="134"/>
      </rPr>
      <t>所需基本额定动载荷</t>
    </r>
    <r>
      <rPr>
        <sz val="11"/>
        <color theme="1"/>
        <rFont val="Tahoma"/>
        <charset val="134"/>
      </rPr>
      <t>C</t>
    </r>
  </si>
  <si>
    <r>
      <rPr>
        <sz val="11"/>
        <rFont val="宋体"/>
        <charset val="134"/>
      </rPr>
      <t>计算寿命</t>
    </r>
    <r>
      <rPr>
        <sz val="11"/>
        <rFont val="Tahoma"/>
        <charset val="134"/>
      </rPr>
      <t>Ls(h)</t>
    </r>
  </si>
  <si>
    <t>校核基本额定动载荷C=校核寿命Lh，二者等效，校核其一即可</t>
  </si>
  <si>
    <r>
      <rPr>
        <sz val="11"/>
        <color theme="1"/>
        <rFont val="Tahoma"/>
        <charset val="134"/>
      </rPr>
      <t>NHK</t>
    </r>
    <r>
      <rPr>
        <sz val="11"/>
        <color theme="1"/>
        <rFont val="宋体"/>
        <charset val="134"/>
      </rPr>
      <t>角接触球轴承样本截图</t>
    </r>
  </si>
  <si>
    <r>
      <rPr>
        <b/>
        <sz val="12"/>
        <color rgb="FFFF0000"/>
        <rFont val="宋体"/>
        <charset val="134"/>
      </rPr>
      <t>圆锥滚子轴承</t>
    </r>
    <r>
      <rPr>
        <b/>
        <sz val="12"/>
        <rFont val="宋体"/>
        <charset val="134"/>
      </rPr>
      <t>(3系)</t>
    </r>
    <r>
      <rPr>
        <b/>
        <sz val="12"/>
        <color rgb="FFFF0000"/>
        <rFont val="宋体"/>
        <charset val="134"/>
      </rPr>
      <t>或角接触球轴承</t>
    </r>
    <r>
      <rPr>
        <b/>
        <sz val="12"/>
        <rFont val="宋体"/>
        <charset val="134"/>
      </rPr>
      <t>(7系)</t>
    </r>
    <r>
      <rPr>
        <b/>
        <sz val="12"/>
        <color rgb="FF7030A0"/>
        <rFont val="宋体"/>
        <charset val="134"/>
      </rPr>
      <t>校核计算</t>
    </r>
  </si>
  <si>
    <t>确定轴承类型</t>
  </si>
  <si>
    <t>圆锥滚子轴承(3系)</t>
  </si>
  <si>
    <r>
      <rPr>
        <sz val="11"/>
        <color theme="1"/>
        <rFont val="宋体"/>
        <charset val="134"/>
      </rPr>
      <t>圆锥滚子轴承</t>
    </r>
    <r>
      <rPr>
        <sz val="11"/>
        <color theme="1"/>
        <rFont val="Tahoma"/>
        <charset val="134"/>
      </rPr>
      <t>e</t>
    </r>
    <r>
      <rPr>
        <sz val="11"/>
        <color theme="1"/>
        <rFont val="宋体"/>
        <charset val="134"/>
      </rPr>
      <t>值</t>
    </r>
  </si>
  <si>
    <t>7系不用填</t>
  </si>
  <si>
    <r>
      <rPr>
        <sz val="11"/>
        <color theme="1"/>
        <rFont val="宋体"/>
        <charset val="134"/>
      </rPr>
      <t>系数</t>
    </r>
    <r>
      <rPr>
        <sz val="11"/>
        <color theme="1"/>
        <rFont val="Tahoma"/>
        <charset val="134"/>
      </rPr>
      <t>e</t>
    </r>
  </si>
  <si>
    <r>
      <rPr>
        <sz val="11"/>
        <color theme="1"/>
        <rFont val="Tahoma"/>
        <charset val="134"/>
      </rPr>
      <t>NHK</t>
    </r>
    <r>
      <rPr>
        <sz val="11"/>
        <color theme="1"/>
        <rFont val="宋体"/>
        <charset val="134"/>
      </rPr>
      <t>圆柱滚子样本截图</t>
    </r>
  </si>
  <si>
    <r>
      <rPr>
        <b/>
        <sz val="12"/>
        <color rgb="FFFF0000"/>
        <rFont val="宋体"/>
        <charset val="134"/>
      </rPr>
      <t>圆柱滚子轴承</t>
    </r>
    <r>
      <rPr>
        <b/>
        <sz val="12"/>
        <rFont val="宋体"/>
        <charset val="134"/>
      </rPr>
      <t>(N系)</t>
    </r>
    <r>
      <rPr>
        <b/>
        <sz val="12"/>
        <color rgb="FFFF0000"/>
        <rFont val="宋体"/>
        <charset val="134"/>
      </rPr>
      <t>选型计算</t>
    </r>
  </si>
  <si>
    <t>此处只考虑轴向载荷</t>
  </si>
  <si>
    <t>1,计算轴承额定动载荷</t>
  </si>
  <si>
    <t>P=fp*Fr</t>
  </si>
  <si>
    <t>2,轴承选型</t>
  </si>
  <si>
    <t>初选选择轴承型号</t>
  </si>
  <si>
    <t>N208</t>
  </si>
  <si>
    <t>3,寿命计算</t>
  </si>
  <si>
    <r>
      <rPr>
        <b/>
        <sz val="12"/>
        <color rgb="FFFF0000"/>
        <rFont val="宋体"/>
        <charset val="134"/>
      </rPr>
      <t>其他轴承</t>
    </r>
    <r>
      <rPr>
        <b/>
        <sz val="12"/>
        <color rgb="FF7030A0"/>
        <rFont val="宋体"/>
        <charset val="134"/>
      </rPr>
      <t>校核计算</t>
    </r>
  </si>
  <si>
    <t>球轴承</t>
  </si>
  <si>
    <r>
      <rPr>
        <sz val="11"/>
        <color theme="1"/>
        <rFont val="宋体"/>
        <charset val="134"/>
      </rPr>
      <t>附图</t>
    </r>
    <r>
      <rPr>
        <sz val="11"/>
        <color theme="1"/>
        <rFont val="Tahoma"/>
        <charset val="134"/>
      </rPr>
      <t xml:space="preserve">1 </t>
    </r>
    <r>
      <rPr>
        <sz val="11"/>
        <color theme="1"/>
        <rFont val="宋体"/>
        <charset val="134"/>
      </rPr>
      <t>双支点各单向固定</t>
    </r>
  </si>
  <si>
    <r>
      <rPr>
        <sz val="11"/>
        <color theme="1"/>
        <rFont val="宋体"/>
        <charset val="134"/>
      </rPr>
      <t>说明：</t>
    </r>
    <r>
      <rPr>
        <sz val="11"/>
        <color theme="1"/>
        <rFont val="Tahoma"/>
        <charset val="134"/>
      </rPr>
      <t xml:space="preserve"> 
      1</t>
    </r>
    <r>
      <rPr>
        <sz val="11"/>
        <color theme="1"/>
        <rFont val="宋体"/>
        <charset val="134"/>
      </rPr>
      <t xml:space="preserve">，轴承类型的选择：
</t>
    </r>
    <r>
      <rPr>
        <sz val="11"/>
        <color theme="1"/>
        <rFont val="Tahoma"/>
        <charset val="134"/>
      </rPr>
      <t xml:space="preserve">      a </t>
    </r>
    <r>
      <rPr>
        <sz val="11"/>
        <color theme="1"/>
        <rFont val="宋体"/>
        <charset val="134"/>
      </rPr>
      <t>载荷：滚子轴承用于较大载荷，球轴承用于中轻载荷；纯径向载荷一般用深沟球轴承、圆柱棍子轴承、滚针轴承；纯轴向载荷可选用推力轴承</t>
    </r>
    <r>
      <rPr>
        <sz val="11"/>
        <color theme="1"/>
        <rFont val="Tahoma"/>
        <charset val="134"/>
      </rPr>
      <t>(</t>
    </r>
    <r>
      <rPr>
        <sz val="11"/>
        <color theme="1"/>
        <rFont val="宋体"/>
        <charset val="134"/>
      </rPr>
      <t>较小的纯轴向载荷可选用推力球球轴承，较大的纯轴向载荷可选用推力滚子轴承</t>
    </r>
    <r>
      <rPr>
        <sz val="11"/>
        <color theme="1"/>
        <rFont val="Tahoma"/>
        <charset val="134"/>
      </rPr>
      <t>)</t>
    </r>
    <r>
      <rPr>
        <sz val="11"/>
        <color theme="1"/>
        <rFont val="宋体"/>
        <charset val="134"/>
      </rPr>
      <t>；径向载荷</t>
    </r>
    <r>
      <rPr>
        <sz val="11"/>
        <color theme="1"/>
        <rFont val="Tahoma"/>
        <charset val="134"/>
      </rPr>
      <t>+</t>
    </r>
    <r>
      <rPr>
        <sz val="11"/>
        <color theme="1"/>
        <rFont val="宋体"/>
        <charset val="134"/>
      </rPr>
      <t>不大的轴向载荷可选用深沟球、角接触球</t>
    </r>
    <r>
      <rPr>
        <sz val="11"/>
        <color theme="1"/>
        <rFont val="Tahoma"/>
        <charset val="134"/>
      </rPr>
      <t>(70000C\70000AC)</t>
    </r>
    <r>
      <rPr>
        <sz val="11"/>
        <color theme="1"/>
        <rFont val="宋体"/>
        <charset val="134"/>
      </rPr>
      <t>、圆锥滚子</t>
    </r>
    <r>
      <rPr>
        <sz val="11"/>
        <color theme="1"/>
        <rFont val="Tahoma"/>
        <charset val="134"/>
      </rPr>
      <t>(α=10~18°)</t>
    </r>
    <r>
      <rPr>
        <sz val="11"/>
        <color theme="1"/>
        <rFont val="宋体"/>
        <charset val="134"/>
      </rPr>
      <t>；径向载荷</t>
    </r>
    <r>
      <rPr>
        <sz val="11"/>
        <color theme="1"/>
        <rFont val="Tahoma"/>
        <charset val="134"/>
      </rPr>
      <t>+</t>
    </r>
    <r>
      <rPr>
        <sz val="11"/>
        <color theme="1"/>
        <rFont val="宋体"/>
        <charset val="134"/>
      </rPr>
      <t>较大的轴向载荷可选用角接触球</t>
    </r>
    <r>
      <rPr>
        <sz val="11"/>
        <color theme="1"/>
        <rFont val="Tahoma"/>
        <charset val="134"/>
      </rPr>
      <t>(70000AC/70000B)</t>
    </r>
    <r>
      <rPr>
        <sz val="11"/>
        <color theme="1"/>
        <rFont val="宋体"/>
        <charset val="134"/>
      </rPr>
      <t>、圆锥滚子</t>
    </r>
    <r>
      <rPr>
        <sz val="11"/>
        <color theme="1"/>
        <rFont val="Tahoma"/>
        <charset val="134"/>
      </rPr>
      <t>(α=27~30</t>
    </r>
    <r>
      <rPr>
        <sz val="11"/>
        <color theme="1"/>
        <rFont val="宋体"/>
        <charset val="134"/>
      </rPr>
      <t>°</t>
    </r>
    <r>
      <rPr>
        <sz val="11"/>
        <color theme="1"/>
        <rFont val="Tahoma"/>
        <charset val="134"/>
      </rPr>
      <t>)</t>
    </r>
    <r>
      <rPr>
        <sz val="11"/>
        <color theme="1"/>
        <rFont val="宋体"/>
        <charset val="134"/>
      </rPr>
      <t>、向心轴承</t>
    </r>
    <r>
      <rPr>
        <sz val="11"/>
        <color theme="1"/>
        <rFont val="Tahoma"/>
        <charset val="134"/>
      </rPr>
      <t>+</t>
    </r>
    <r>
      <rPr>
        <sz val="11"/>
        <color theme="1"/>
        <rFont val="宋体"/>
        <charset val="134"/>
      </rPr>
      <t xml:space="preserve">推力轴承组合。
</t>
    </r>
    <r>
      <rPr>
        <sz val="11"/>
        <color theme="1"/>
        <rFont val="Tahoma"/>
        <charset val="134"/>
      </rPr>
      <t xml:space="preserve">      b </t>
    </r>
    <r>
      <rPr>
        <sz val="11"/>
        <color theme="1"/>
        <rFont val="宋体"/>
        <charset val="134"/>
      </rPr>
      <t>转速：样本手册中的极限转速</t>
    </r>
    <r>
      <rPr>
        <sz val="11"/>
        <color theme="1"/>
        <rFont val="Tahoma"/>
        <charset val="134"/>
      </rPr>
      <t>Nlim</t>
    </r>
    <r>
      <rPr>
        <sz val="11"/>
        <color theme="1"/>
        <rFont val="宋体"/>
        <charset val="134"/>
      </rPr>
      <t>为当量动载荷</t>
    </r>
    <r>
      <rPr>
        <sz val="11"/>
        <color theme="1"/>
        <rFont val="Tahoma"/>
        <charset val="134"/>
      </rPr>
      <t>P</t>
    </r>
    <r>
      <rPr>
        <sz val="11"/>
        <color theme="1"/>
        <rFont val="宋体"/>
        <charset val="134"/>
      </rPr>
      <t>≤</t>
    </r>
    <r>
      <rPr>
        <sz val="11"/>
        <color theme="1"/>
        <rFont val="Tahoma"/>
        <charset val="134"/>
      </rPr>
      <t>0.1</t>
    </r>
    <r>
      <rPr>
        <sz val="11"/>
        <color theme="1"/>
        <rFont val="宋体"/>
        <charset val="134"/>
      </rPr>
      <t>额定载荷</t>
    </r>
    <r>
      <rPr>
        <sz val="11"/>
        <color theme="1"/>
        <rFont val="Tahoma"/>
        <charset val="134"/>
      </rPr>
      <t>C</t>
    </r>
    <r>
      <rPr>
        <sz val="11"/>
        <color theme="1"/>
        <rFont val="宋体"/>
        <charset val="134"/>
      </rPr>
      <t>、冷却正常、</t>
    </r>
    <r>
      <rPr>
        <sz val="11"/>
        <color theme="1"/>
        <rFont val="Tahoma"/>
        <charset val="134"/>
      </rPr>
      <t>0</t>
    </r>
    <r>
      <rPr>
        <sz val="11"/>
        <color theme="1"/>
        <rFont val="宋体"/>
        <charset val="134"/>
      </rPr>
      <t xml:space="preserve">级公差时的最大允许转速；若工作转速略超过样本规定极限转速，可采用较高公差等级轴承、或选用较大游隙轴承、采用循环润滑或有无润滑、加强冷却等措施；若工作转速超过样本规定极限转速较多，应选用特制高速滚动轴承。球轴承比滚子轴承有较高的极限转速；内径一定时，外径越小极限转速越高；实体保持架比冲压保持架允许更高转速，特别是青铜实体；推力轴承极限转速都很低，当工作转速高时，若轴向力不十分大，可以用角接触球轴承替代。
</t>
    </r>
    <r>
      <rPr>
        <sz val="11"/>
        <color theme="1"/>
        <rFont val="Tahoma"/>
        <charset val="134"/>
      </rPr>
      <t xml:space="preserve">    2</t>
    </r>
    <r>
      <rPr>
        <sz val="11"/>
        <color theme="1"/>
        <rFont val="宋体"/>
        <charset val="134"/>
      </rPr>
      <t>，轴承的计算准则：
对一般运转的轴承，主要失效形式是疲劳点蚀，应按基本额定动载荷进行寿命计算。对于不转，摆动或转速极低（</t>
    </r>
    <r>
      <rPr>
        <sz val="11"/>
        <color theme="1"/>
        <rFont val="Tahoma"/>
        <charset val="134"/>
      </rPr>
      <t>n</t>
    </r>
    <r>
      <rPr>
        <sz val="11"/>
        <color theme="1"/>
        <rFont val="宋体"/>
        <charset val="134"/>
      </rPr>
      <t>≤</t>
    </r>
    <r>
      <rPr>
        <sz val="11"/>
        <color theme="1"/>
        <rFont val="Tahoma"/>
        <charset val="134"/>
      </rPr>
      <t>10 r/min</t>
    </r>
    <r>
      <rPr>
        <sz val="11"/>
        <color theme="1"/>
        <rFont val="宋体"/>
        <charset val="134"/>
      </rPr>
      <t>）的轴承，主要失效形式是塑性变形，故应按额定静负荷进行强度计算</t>
    </r>
    <r>
      <rPr>
        <sz val="11"/>
        <color theme="1"/>
        <rFont val="Tahoma"/>
        <charset val="134"/>
      </rPr>
      <t>(</t>
    </r>
    <r>
      <rPr>
        <sz val="11"/>
        <color theme="1"/>
        <rFont val="宋体"/>
        <charset val="134"/>
      </rPr>
      <t>不在本软件考虑范围</t>
    </r>
    <r>
      <rPr>
        <sz val="11"/>
        <color theme="1"/>
        <rFont val="Tahoma"/>
        <charset val="134"/>
      </rPr>
      <t>)</t>
    </r>
    <r>
      <rPr>
        <sz val="11"/>
        <color theme="1"/>
        <rFont val="宋体"/>
        <charset val="134"/>
      </rPr>
      <t xml:space="preserve">。
</t>
    </r>
    <r>
      <rPr>
        <sz val="11"/>
        <color theme="1"/>
        <rFont val="Tahoma"/>
        <charset val="134"/>
      </rPr>
      <t xml:space="preserve">     </t>
    </r>
    <r>
      <rPr>
        <sz val="11"/>
        <color theme="1"/>
        <rFont val="宋体"/>
        <charset val="134"/>
      </rPr>
      <t>基本额定寿命：一批同型号轴承工作运转达到已有</t>
    </r>
    <r>
      <rPr>
        <sz val="11"/>
        <color theme="1"/>
        <rFont val="Tahoma"/>
        <charset val="134"/>
      </rPr>
      <t>10</t>
    </r>
    <r>
      <rPr>
        <sz val="11"/>
        <color theme="1"/>
        <rFont val="宋体"/>
        <charset val="134"/>
      </rPr>
      <t>％的轴承出现疲劳点蚀，</t>
    </r>
    <r>
      <rPr>
        <sz val="11"/>
        <color theme="1"/>
        <rFont val="Tahoma"/>
        <charset val="134"/>
      </rPr>
      <t>90%</t>
    </r>
    <r>
      <rPr>
        <sz val="11"/>
        <color theme="1"/>
        <rFont val="宋体"/>
        <charset val="134"/>
      </rPr>
      <t xml:space="preserve">的轴承还能继续工作时的总转数。
</t>
    </r>
    <r>
      <rPr>
        <sz val="11"/>
        <color theme="1"/>
        <rFont val="Tahoma"/>
        <charset val="134"/>
      </rPr>
      <t xml:space="preserve">     </t>
    </r>
    <r>
      <rPr>
        <sz val="11"/>
        <color theme="1"/>
        <rFont val="宋体"/>
        <charset val="134"/>
      </rPr>
      <t>基本额定动载荷：基本额定寿命为一百万转（</t>
    </r>
    <r>
      <rPr>
        <sz val="11"/>
        <color theme="1"/>
        <rFont val="Tahoma"/>
        <charset val="134"/>
      </rPr>
      <t>L=10^6</t>
    </r>
    <r>
      <rPr>
        <sz val="11"/>
        <color theme="1"/>
        <rFont val="宋体"/>
        <charset val="134"/>
      </rPr>
      <t>转）时，轴承所能承受的负荷称为基本额定动负荷</t>
    </r>
    <r>
      <rPr>
        <sz val="11"/>
        <color theme="1"/>
        <rFont val="Tahoma"/>
        <charset val="134"/>
      </rPr>
      <t>C</t>
    </r>
    <r>
      <rPr>
        <sz val="11"/>
        <color theme="1"/>
        <rFont val="宋体"/>
        <charset val="134"/>
      </rPr>
      <t>，单位为牛顿（</t>
    </r>
    <r>
      <rPr>
        <sz val="11"/>
        <color theme="1"/>
        <rFont val="Tahoma"/>
        <charset val="134"/>
      </rPr>
      <t>N</t>
    </r>
    <r>
      <rPr>
        <sz val="11"/>
        <color theme="1"/>
        <rFont val="宋体"/>
        <charset val="134"/>
      </rPr>
      <t>）。</t>
    </r>
    <r>
      <rPr>
        <sz val="11"/>
        <color theme="1"/>
        <rFont val="Tahoma"/>
        <charset val="134"/>
      </rPr>
      <t xml:space="preserve">
    3</t>
    </r>
    <r>
      <rPr>
        <sz val="11"/>
        <color theme="1"/>
        <rFont val="宋体"/>
        <charset val="134"/>
      </rPr>
      <t>，轴承的配置方法：双支点各单向固定；一端双向固定，一端游动</t>
    </r>
    <r>
      <rPr>
        <sz val="11"/>
        <color theme="1"/>
        <rFont val="Tahoma"/>
        <charset val="134"/>
      </rPr>
      <t>(</t>
    </r>
    <r>
      <rPr>
        <sz val="11"/>
        <color theme="1"/>
        <rFont val="宋体"/>
        <charset val="134"/>
      </rPr>
      <t>支撑</t>
    </r>
    <r>
      <rPr>
        <sz val="11"/>
        <color theme="1"/>
        <rFont val="Tahoma"/>
        <charset val="134"/>
      </rPr>
      <t>)</t>
    </r>
    <r>
      <rPr>
        <sz val="11"/>
        <color theme="1"/>
        <rFont val="宋体"/>
        <charset val="134"/>
      </rPr>
      <t>；两端游动</t>
    </r>
    <r>
      <rPr>
        <sz val="11"/>
        <color theme="1"/>
        <rFont val="Tahoma"/>
        <charset val="134"/>
      </rPr>
      <t>(</t>
    </r>
    <r>
      <rPr>
        <sz val="11"/>
        <color theme="1"/>
        <rFont val="宋体"/>
        <charset val="134"/>
      </rPr>
      <t>支撑</t>
    </r>
    <r>
      <rPr>
        <sz val="11"/>
        <color theme="1"/>
        <rFont val="Tahoma"/>
        <charset val="134"/>
      </rPr>
      <t>)</t>
    </r>
    <r>
      <rPr>
        <sz val="11"/>
        <color theme="1"/>
        <rFont val="宋体"/>
        <charset val="134"/>
      </rPr>
      <t>。如右侧附图。</t>
    </r>
  </si>
  <si>
    <r>
      <rPr>
        <sz val="11"/>
        <color theme="1"/>
        <rFont val="宋体"/>
        <charset val="134"/>
      </rPr>
      <t>附图</t>
    </r>
    <r>
      <rPr>
        <sz val="11"/>
        <color theme="1"/>
        <rFont val="Tahoma"/>
        <charset val="134"/>
      </rPr>
      <t xml:space="preserve">1 </t>
    </r>
    <r>
      <rPr>
        <sz val="11"/>
        <color theme="1"/>
        <rFont val="宋体"/>
        <charset val="134"/>
      </rPr>
      <t>一端固定一端游动</t>
    </r>
  </si>
  <si>
    <t xml:space="preserve">文档信息
编写：煜宸
参考：《机械设计——第八版》——蒲良贵、纪名刚
      《机械设计手册——第五版第三卷》——成大先
      《NHK轴承综合样本》                  2018.9.19                                    
</t>
  </si>
  <si>
    <t>圆柱齿轮强度计算与校核</t>
  </si>
  <si>
    <t>按齿根弯曲疲劳强度计算最小模数</t>
  </si>
  <si>
    <r>
      <rPr>
        <sz val="11"/>
        <color theme="1"/>
        <rFont val="宋体"/>
        <charset val="134"/>
        <scheme val="minor"/>
      </rPr>
      <t>表1 使用系数K</t>
    </r>
    <r>
      <rPr>
        <vertAlign val="subscript"/>
        <sz val="14"/>
        <color theme="1"/>
        <rFont val="宋体"/>
        <charset val="134"/>
        <scheme val="minor"/>
      </rPr>
      <t>A</t>
    </r>
  </si>
  <si>
    <t>参数与条件</t>
  </si>
  <si>
    <t>载荷状态</t>
  </si>
  <si>
    <t>原动机</t>
  </si>
  <si>
    <r>
      <rPr>
        <sz val="11"/>
        <color theme="1"/>
        <rFont val="宋体"/>
        <charset val="134"/>
        <scheme val="minor"/>
      </rPr>
      <t>载荷分布系数
K=K</t>
    </r>
    <r>
      <rPr>
        <vertAlign val="subscript"/>
        <sz val="14"/>
        <color theme="1"/>
        <rFont val="宋体"/>
        <charset val="134"/>
        <scheme val="minor"/>
      </rPr>
      <t>A</t>
    </r>
    <r>
      <rPr>
        <sz val="11"/>
        <color theme="1"/>
        <rFont val="宋体"/>
        <charset val="134"/>
        <scheme val="minor"/>
      </rPr>
      <t>*K</t>
    </r>
    <r>
      <rPr>
        <vertAlign val="subscript"/>
        <sz val="14"/>
        <color theme="1"/>
        <rFont val="宋体"/>
        <charset val="134"/>
        <scheme val="minor"/>
      </rPr>
      <t>V</t>
    </r>
    <r>
      <rPr>
        <sz val="11"/>
        <color theme="1"/>
        <rFont val="宋体"/>
        <charset val="134"/>
        <scheme val="minor"/>
      </rPr>
      <t>*K</t>
    </r>
    <r>
      <rPr>
        <vertAlign val="subscript"/>
        <sz val="14"/>
        <color theme="1"/>
        <rFont val="宋体"/>
        <charset val="134"/>
        <scheme val="minor"/>
      </rPr>
      <t>α</t>
    </r>
    <r>
      <rPr>
        <sz val="11"/>
        <color theme="1"/>
        <rFont val="宋体"/>
        <charset val="134"/>
        <scheme val="minor"/>
      </rPr>
      <t>*K</t>
    </r>
    <r>
      <rPr>
        <vertAlign val="subscript"/>
        <sz val="14"/>
        <color theme="1"/>
        <rFont val="宋体"/>
        <charset val="134"/>
        <scheme val="minor"/>
      </rPr>
      <t>β</t>
    </r>
    <r>
      <rPr>
        <sz val="11"/>
        <color theme="1"/>
        <rFont val="宋体"/>
        <charset val="134"/>
        <scheme val="minor"/>
      </rPr>
      <t xml:space="preserve">
=</t>
    </r>
  </si>
  <si>
    <r>
      <rPr>
        <sz val="11"/>
        <color theme="1"/>
        <rFont val="宋体"/>
        <charset val="134"/>
        <scheme val="minor"/>
      </rPr>
      <t>使用系数K</t>
    </r>
    <r>
      <rPr>
        <vertAlign val="subscript"/>
        <sz val="14"/>
        <color theme="1"/>
        <rFont val="宋体"/>
        <charset val="134"/>
        <scheme val="minor"/>
      </rPr>
      <t>A</t>
    </r>
  </si>
  <si>
    <t>表1</t>
  </si>
  <si>
    <t>电动机</t>
  </si>
  <si>
    <t>蒸汽机燃气轮机</t>
  </si>
  <si>
    <t>多缸内燃机</t>
  </si>
  <si>
    <t>单杠内燃机</t>
  </si>
  <si>
    <r>
      <rPr>
        <sz val="11"/>
        <color theme="1"/>
        <rFont val="宋体"/>
        <charset val="134"/>
        <scheme val="minor"/>
      </rPr>
      <t>动载系数K</t>
    </r>
    <r>
      <rPr>
        <vertAlign val="subscript"/>
        <sz val="14"/>
        <color theme="1"/>
        <rFont val="宋体"/>
        <charset val="134"/>
        <scheme val="minor"/>
      </rPr>
      <t>V</t>
    </r>
  </si>
  <si>
    <t>7级精度</t>
  </si>
  <si>
    <t>均匀平稳</t>
  </si>
  <si>
    <t>1~1.1</t>
  </si>
  <si>
    <r>
      <rPr>
        <sz val="11"/>
        <color theme="1"/>
        <rFont val="宋体"/>
        <charset val="134"/>
        <scheme val="minor"/>
      </rPr>
      <t>齿间载荷分布K</t>
    </r>
    <r>
      <rPr>
        <vertAlign val="subscript"/>
        <sz val="14"/>
        <color theme="1"/>
        <rFont val="宋体"/>
        <charset val="134"/>
        <scheme val="minor"/>
      </rPr>
      <t>α</t>
    </r>
  </si>
  <si>
    <t>7级表面硬斜齿
 8级表面软斜齿</t>
  </si>
  <si>
    <t>轻微冲击</t>
  </si>
  <si>
    <t>1.1~1.3</t>
  </si>
  <si>
    <r>
      <rPr>
        <sz val="11"/>
        <color theme="1"/>
        <rFont val="宋体"/>
        <charset val="134"/>
        <scheme val="minor"/>
      </rPr>
      <t>齿向载荷分布K</t>
    </r>
    <r>
      <rPr>
        <vertAlign val="subscript"/>
        <sz val="14"/>
        <color theme="1"/>
        <rFont val="宋体"/>
        <charset val="134"/>
        <scheme val="minor"/>
      </rPr>
      <t>β</t>
    </r>
  </si>
  <si>
    <t>表4</t>
  </si>
  <si>
    <t>中等冲击</t>
  </si>
  <si>
    <t>1.3~1.4</t>
  </si>
  <si>
    <r>
      <rPr>
        <sz val="11"/>
        <color theme="1"/>
        <rFont val="宋体"/>
        <charset val="134"/>
        <scheme val="minor"/>
      </rPr>
      <t>齿宽系数Φ</t>
    </r>
    <r>
      <rPr>
        <vertAlign val="subscript"/>
        <sz val="14"/>
        <color theme="1"/>
        <rFont val="宋体"/>
        <charset val="134"/>
        <scheme val="minor"/>
      </rPr>
      <t>d</t>
    </r>
  </si>
  <si>
    <t>齿宽b/小齿d1</t>
  </si>
  <si>
    <t>表5</t>
  </si>
  <si>
    <t>严重冲击</t>
  </si>
  <si>
    <t>1.4~1.6</t>
  </si>
  <si>
    <t>≥2.25</t>
  </si>
  <si>
    <t>传动比u</t>
  </si>
  <si>
    <t>压力角α</t>
  </si>
  <si>
    <t>一般为20</t>
  </si>
  <si>
    <t>表2 动载系数Kv(锥形齿按低一级精度选取)（v=10）    v=πd1n1/60/1000</t>
  </si>
  <si>
    <t>斜齿轮螺旋角β(推荐8~20°)</t>
  </si>
  <si>
    <t>直齿轮为0</t>
  </si>
  <si>
    <t xml:space="preserve">动载系数Kv
</t>
  </si>
  <si>
    <t>6级精度</t>
  </si>
  <si>
    <t>8级精度</t>
  </si>
  <si>
    <t>9级精度</t>
  </si>
  <si>
    <r>
      <rPr>
        <sz val="11"/>
        <color theme="1"/>
        <rFont val="宋体"/>
        <charset val="134"/>
        <scheme val="minor"/>
      </rPr>
      <t>斜齿轮纵向重合度ε</t>
    </r>
    <r>
      <rPr>
        <vertAlign val="subscript"/>
        <sz val="14"/>
        <color theme="1"/>
        <rFont val="宋体"/>
        <charset val="134"/>
        <scheme val="minor"/>
      </rPr>
      <t>β</t>
    </r>
  </si>
  <si>
    <r>
      <rPr>
        <sz val="10"/>
        <color theme="1"/>
        <rFont val="宋体"/>
        <charset val="134"/>
        <scheme val="minor"/>
      </rPr>
      <t>0.318*Φd*Z</t>
    </r>
    <r>
      <rPr>
        <vertAlign val="subscript"/>
        <sz val="12"/>
        <color theme="1"/>
        <rFont val="宋体"/>
        <charset val="134"/>
        <scheme val="minor"/>
      </rPr>
      <t>1</t>
    </r>
    <r>
      <rPr>
        <sz val="10"/>
        <color theme="1"/>
        <rFont val="宋体"/>
        <charset val="134"/>
        <scheme val="minor"/>
      </rPr>
      <t>*tanβ</t>
    </r>
  </si>
  <si>
    <r>
      <rPr>
        <sz val="11"/>
        <color theme="1"/>
        <rFont val="宋体"/>
        <charset val="134"/>
        <scheme val="minor"/>
      </rPr>
      <t>斜齿轮螺旋角影响系数Y</t>
    </r>
    <r>
      <rPr>
        <vertAlign val="subscript"/>
        <sz val="14"/>
        <color theme="1"/>
        <rFont val="宋体"/>
        <charset val="134"/>
        <scheme val="minor"/>
      </rPr>
      <t>β</t>
    </r>
  </si>
  <si>
    <t xml:space="preserve">           </t>
  </si>
  <si>
    <r>
      <rPr>
        <sz val="11"/>
        <color theme="1"/>
        <rFont val="宋体"/>
        <charset val="134"/>
        <scheme val="minor"/>
      </rPr>
      <t>斜齿轮端面重合系数ε</t>
    </r>
    <r>
      <rPr>
        <vertAlign val="subscript"/>
        <sz val="14"/>
        <color theme="1"/>
        <rFont val="宋体"/>
        <charset val="134"/>
        <scheme val="minor"/>
      </rPr>
      <t>α</t>
    </r>
  </si>
  <si>
    <t>公式很打脑壳</t>
  </si>
  <si>
    <t>小齿轮传递功率与转矩2选1输入</t>
  </si>
  <si>
    <t>若已知P(kw)</t>
  </si>
  <si>
    <t>若已知T(N.mm)</t>
  </si>
  <si>
    <t>小齿轮</t>
  </si>
  <si>
    <t>大齿轮</t>
  </si>
  <si>
    <t>齿数z</t>
  </si>
  <si>
    <t>Z2=Z1*u</t>
  </si>
  <si>
    <r>
      <rPr>
        <sz val="11"/>
        <color theme="1"/>
        <rFont val="宋体"/>
        <charset val="134"/>
        <scheme val="minor"/>
      </rPr>
      <t>斜齿轮当量齿数Z</t>
    </r>
    <r>
      <rPr>
        <vertAlign val="subscript"/>
        <sz val="14"/>
        <color theme="1"/>
        <rFont val="宋体"/>
        <charset val="134"/>
        <scheme val="minor"/>
      </rPr>
      <t>V</t>
    </r>
  </si>
  <si>
    <r>
      <rPr>
        <sz val="11"/>
        <color theme="1"/>
        <rFont val="宋体"/>
        <charset val="134"/>
        <scheme val="minor"/>
      </rPr>
      <t>Zv=Zcos</t>
    </r>
    <r>
      <rPr>
        <vertAlign val="superscript"/>
        <sz val="12"/>
        <color theme="1"/>
        <rFont val="宋体"/>
        <charset val="134"/>
        <scheme val="minor"/>
      </rPr>
      <t>3</t>
    </r>
    <r>
      <rPr>
        <sz val="11"/>
        <color theme="1"/>
        <rFont val="宋体"/>
        <charset val="134"/>
        <scheme val="minor"/>
      </rPr>
      <t>β</t>
    </r>
  </si>
  <si>
    <r>
      <rPr>
        <sz val="11"/>
        <color theme="1"/>
        <rFont val="宋体"/>
        <charset val="134"/>
        <scheme val="minor"/>
      </rPr>
      <t>齿形系数Y</t>
    </r>
    <r>
      <rPr>
        <vertAlign val="subscript"/>
        <sz val="14"/>
        <color theme="1"/>
        <rFont val="宋体"/>
        <charset val="134"/>
        <scheme val="minor"/>
      </rPr>
      <t>Fa</t>
    </r>
  </si>
  <si>
    <r>
      <rPr>
        <sz val="11"/>
        <color theme="1"/>
        <rFont val="宋体"/>
        <charset val="134"/>
        <scheme val="minor"/>
      </rPr>
      <t>应力矫正系数Y</t>
    </r>
    <r>
      <rPr>
        <vertAlign val="subscript"/>
        <sz val="14"/>
        <color theme="1"/>
        <rFont val="宋体"/>
        <charset val="134"/>
        <scheme val="minor"/>
      </rPr>
      <t>sa</t>
    </r>
  </si>
  <si>
    <r>
      <rPr>
        <sz val="11"/>
        <color theme="1"/>
        <rFont val="宋体"/>
        <charset val="134"/>
        <scheme val="minor"/>
      </rPr>
      <t>Y</t>
    </r>
    <r>
      <rPr>
        <vertAlign val="subscript"/>
        <sz val="14"/>
        <color theme="1"/>
        <rFont val="宋体"/>
        <charset val="134"/>
        <scheme val="minor"/>
      </rPr>
      <t>Fa</t>
    </r>
    <r>
      <rPr>
        <sz val="11"/>
        <color theme="1"/>
        <rFont val="宋体"/>
        <charset val="134"/>
        <scheme val="minor"/>
      </rPr>
      <t>*Y</t>
    </r>
    <r>
      <rPr>
        <vertAlign val="subscript"/>
        <sz val="14"/>
        <color theme="1"/>
        <rFont val="宋体"/>
        <charset val="134"/>
        <scheme val="minor"/>
      </rPr>
      <t>sa</t>
    </r>
  </si>
  <si>
    <t>相配合的齿轮数j</t>
  </si>
  <si>
    <t>工作寿命L（h）</t>
  </si>
  <si>
    <t>班次*班时*天数*年限</t>
  </si>
  <si>
    <r>
      <rPr>
        <sz val="11"/>
        <color theme="1"/>
        <rFont val="宋体"/>
        <charset val="134"/>
        <scheme val="minor"/>
      </rPr>
      <t>表3 齿间载荷分布K</t>
    </r>
    <r>
      <rPr>
        <vertAlign val="subscript"/>
        <sz val="14"/>
        <color theme="1"/>
        <rFont val="宋体"/>
        <charset val="134"/>
        <scheme val="minor"/>
      </rPr>
      <t>α</t>
    </r>
  </si>
  <si>
    <t>转速n（r/min）</t>
  </si>
  <si>
    <r>
      <rPr>
        <sz val="11"/>
        <color theme="1"/>
        <rFont val="宋体"/>
        <charset val="134"/>
        <scheme val="minor"/>
      </rPr>
      <t>齿间载荷分布K</t>
    </r>
    <r>
      <rPr>
        <vertAlign val="subscript"/>
        <sz val="11"/>
        <color theme="1"/>
        <rFont val="宋体"/>
        <charset val="134"/>
        <scheme val="minor"/>
      </rPr>
      <t>α</t>
    </r>
    <r>
      <rPr>
        <sz val="11"/>
        <color theme="1"/>
        <rFont val="宋体"/>
        <charset val="134"/>
        <scheme val="minor"/>
      </rPr>
      <t xml:space="preserve">
（β≤30°）</t>
    </r>
  </si>
  <si>
    <t xml:space="preserve">直齿,5级斜齿
 6级表面软斜齿
</t>
  </si>
  <si>
    <t>6级表面硬斜齿
 7级表面软斜齿</t>
  </si>
  <si>
    <t>8级表面硬斜齿</t>
  </si>
  <si>
    <t>应力循环次数N</t>
  </si>
  <si>
    <t>N=60njL</t>
  </si>
  <si>
    <t>6级表面软斜齿</t>
  </si>
  <si>
    <t>7级表面软斜齿</t>
  </si>
  <si>
    <t>8级表面软斜齿</t>
  </si>
  <si>
    <r>
      <rPr>
        <sz val="11"/>
        <color theme="1"/>
        <rFont val="宋体"/>
        <charset val="134"/>
        <scheme val="minor"/>
      </rPr>
      <t>寿命系数K</t>
    </r>
    <r>
      <rPr>
        <vertAlign val="subscript"/>
        <sz val="14"/>
        <color theme="1"/>
        <rFont val="宋体"/>
        <charset val="134"/>
        <scheme val="minor"/>
      </rPr>
      <t>N</t>
    </r>
  </si>
  <si>
    <t>表6</t>
  </si>
  <si>
    <t>齿面硬度（HBS）</t>
  </si>
  <si>
    <r>
      <rPr>
        <sz val="11"/>
        <color theme="1"/>
        <rFont val="宋体"/>
        <charset val="134"/>
        <scheme val="minor"/>
      </rPr>
      <t>疲劳极限σ</t>
    </r>
    <r>
      <rPr>
        <vertAlign val="subscript"/>
        <sz val="14"/>
        <color theme="1"/>
        <rFont val="宋体"/>
        <charset val="134"/>
        <scheme val="minor"/>
      </rPr>
      <t>FE</t>
    </r>
  </si>
  <si>
    <t>表8中ML与MQ</t>
  </si>
  <si>
    <r>
      <rPr>
        <sz val="11"/>
        <color theme="1"/>
        <rFont val="宋体"/>
        <charset val="134"/>
        <scheme val="minor"/>
      </rPr>
      <t>表4 齿向载荷分布K</t>
    </r>
    <r>
      <rPr>
        <vertAlign val="subscript"/>
        <sz val="14"/>
        <color theme="1"/>
        <rFont val="宋体"/>
        <charset val="134"/>
        <scheme val="minor"/>
      </rPr>
      <t>β</t>
    </r>
    <r>
      <rPr>
        <sz val="11"/>
        <color theme="1"/>
        <rFont val="宋体"/>
        <charset val="134"/>
        <scheme val="minor"/>
      </rPr>
      <t>（8级精度）</t>
    </r>
  </si>
  <si>
    <r>
      <rPr>
        <sz val="11"/>
        <color theme="1"/>
        <rFont val="宋体"/>
        <charset val="134"/>
        <scheme val="minor"/>
      </rPr>
      <t>许用应力[σ</t>
    </r>
    <r>
      <rPr>
        <vertAlign val="subscript"/>
        <sz val="14"/>
        <color theme="1"/>
        <rFont val="宋体"/>
        <charset val="134"/>
        <scheme val="minor"/>
      </rPr>
      <t>F</t>
    </r>
    <r>
      <rPr>
        <sz val="11"/>
        <color theme="1"/>
        <rFont val="宋体"/>
        <charset val="134"/>
        <scheme val="minor"/>
      </rPr>
      <t>]</t>
    </r>
  </si>
  <si>
    <r>
      <rPr>
        <sz val="10"/>
        <color theme="1"/>
        <rFont val="宋体"/>
        <charset val="134"/>
        <scheme val="minor"/>
      </rPr>
      <t>[σ]=K</t>
    </r>
    <r>
      <rPr>
        <vertAlign val="subscript"/>
        <sz val="14"/>
        <color theme="1"/>
        <rFont val="宋体"/>
        <charset val="134"/>
        <scheme val="minor"/>
      </rPr>
      <t>N</t>
    </r>
    <r>
      <rPr>
        <sz val="10"/>
        <color theme="1"/>
        <rFont val="宋体"/>
        <charset val="134"/>
        <scheme val="minor"/>
      </rPr>
      <t>*σ</t>
    </r>
    <r>
      <rPr>
        <vertAlign val="subscript"/>
        <sz val="14"/>
        <color theme="1"/>
        <rFont val="宋体"/>
        <charset val="134"/>
        <scheme val="minor"/>
      </rPr>
      <t>FE</t>
    </r>
    <r>
      <rPr>
        <sz val="10"/>
        <color theme="1"/>
        <rFont val="宋体"/>
        <charset val="134"/>
        <scheme val="minor"/>
      </rPr>
      <t>/S，S取1.5</t>
    </r>
  </si>
  <si>
    <r>
      <rPr>
        <sz val="11"/>
        <color theme="1"/>
        <rFont val="宋体"/>
        <charset val="134"/>
        <scheme val="minor"/>
      </rPr>
      <t>Yfa*Ysa/[σ</t>
    </r>
    <r>
      <rPr>
        <vertAlign val="subscript"/>
        <sz val="14"/>
        <color theme="1"/>
        <rFont val="宋体"/>
        <charset val="134"/>
        <scheme val="minor"/>
      </rPr>
      <t>F</t>
    </r>
    <r>
      <rPr>
        <sz val="11"/>
        <color theme="1"/>
        <rFont val="宋体"/>
        <charset val="134"/>
        <scheme val="minor"/>
      </rPr>
      <t>]</t>
    </r>
  </si>
  <si>
    <t>选大的带入计算</t>
  </si>
  <si>
    <t>最小模数m</t>
  </si>
  <si>
    <t>按齿面接触疲劳强度计算最小分度圆</t>
  </si>
  <si>
    <t>表7</t>
  </si>
  <si>
    <r>
      <rPr>
        <sz val="11"/>
        <color theme="1"/>
        <rFont val="宋体"/>
        <charset val="134"/>
        <scheme val="minor"/>
      </rPr>
      <t>疲劳极限σ</t>
    </r>
    <r>
      <rPr>
        <vertAlign val="subscript"/>
        <sz val="14"/>
        <color theme="1"/>
        <rFont val="宋体"/>
        <charset val="134"/>
        <scheme val="minor"/>
      </rPr>
      <t>Hlim</t>
    </r>
  </si>
  <si>
    <t>表9</t>
  </si>
  <si>
    <r>
      <rPr>
        <sz val="11"/>
        <color theme="1"/>
        <rFont val="宋体"/>
        <charset val="134"/>
        <scheme val="minor"/>
      </rPr>
      <t>许用应力[σ</t>
    </r>
    <r>
      <rPr>
        <vertAlign val="subscript"/>
        <sz val="14"/>
        <color theme="1"/>
        <rFont val="宋体"/>
        <charset val="134"/>
        <scheme val="minor"/>
      </rPr>
      <t>H</t>
    </r>
    <r>
      <rPr>
        <sz val="11"/>
        <color theme="1"/>
        <rFont val="宋体"/>
        <charset val="134"/>
        <scheme val="minor"/>
      </rPr>
      <t>]</t>
    </r>
  </si>
  <si>
    <t>[σ]=KN*σHlim/S,S取1</t>
  </si>
  <si>
    <r>
      <rPr>
        <sz val="11"/>
        <color theme="1"/>
        <rFont val="宋体"/>
        <charset val="134"/>
        <scheme val="minor"/>
      </rPr>
      <t>取[σ</t>
    </r>
    <r>
      <rPr>
        <vertAlign val="subscript"/>
        <sz val="11"/>
        <color theme="1"/>
        <rFont val="宋体"/>
        <charset val="134"/>
        <scheme val="minor"/>
      </rPr>
      <t>H</t>
    </r>
    <r>
      <rPr>
        <sz val="11"/>
        <color theme="1"/>
        <rFont val="宋体"/>
        <charset val="134"/>
        <scheme val="minor"/>
      </rPr>
      <t>]小值</t>
    </r>
  </si>
  <si>
    <r>
      <rPr>
        <sz val="11"/>
        <color theme="1"/>
        <rFont val="宋体"/>
        <charset val="134"/>
        <scheme val="minor"/>
      </rPr>
      <t>取[σ</t>
    </r>
    <r>
      <rPr>
        <vertAlign val="subscript"/>
        <sz val="14"/>
        <color theme="1"/>
        <rFont val="宋体"/>
        <charset val="134"/>
        <scheme val="minor"/>
      </rPr>
      <t>H</t>
    </r>
    <r>
      <rPr>
        <sz val="11"/>
        <color theme="1"/>
        <rFont val="宋体"/>
        <charset val="134"/>
        <scheme val="minor"/>
      </rPr>
      <t>]小值</t>
    </r>
  </si>
  <si>
    <r>
      <rPr>
        <sz val="11"/>
        <color theme="1"/>
        <rFont val="宋体"/>
        <charset val="134"/>
        <scheme val="minor"/>
      </rPr>
      <t>弹性影响系数Z</t>
    </r>
    <r>
      <rPr>
        <vertAlign val="subscript"/>
        <sz val="14"/>
        <color theme="1"/>
        <rFont val="宋体"/>
        <charset val="134"/>
        <scheme val="minor"/>
      </rPr>
      <t>E</t>
    </r>
    <r>
      <rPr>
        <sz val="11"/>
        <color theme="1"/>
        <rFont val="宋体"/>
        <charset val="134"/>
        <scheme val="minor"/>
      </rPr>
      <t>(MPa</t>
    </r>
    <r>
      <rPr>
        <vertAlign val="superscript"/>
        <sz val="12"/>
        <color theme="1"/>
        <rFont val="宋体"/>
        <charset val="134"/>
        <scheme val="minor"/>
      </rPr>
      <t>1/2</t>
    </r>
    <r>
      <rPr>
        <sz val="11"/>
        <color theme="1"/>
        <rFont val="宋体"/>
        <charset val="134"/>
        <scheme val="minor"/>
      </rPr>
      <t>)</t>
    </r>
  </si>
  <si>
    <t>表10</t>
  </si>
  <si>
    <r>
      <rPr>
        <sz val="11"/>
        <color theme="1"/>
        <rFont val="宋体"/>
        <charset val="134"/>
        <scheme val="minor"/>
      </rPr>
      <t>斜齿轮区域系数Z</t>
    </r>
    <r>
      <rPr>
        <vertAlign val="subscript"/>
        <sz val="14"/>
        <color theme="1"/>
        <rFont val="宋体"/>
        <charset val="134"/>
        <scheme val="minor"/>
      </rPr>
      <t>H</t>
    </r>
    <r>
      <rPr>
        <sz val="11"/>
        <color theme="1"/>
        <rFont val="宋体"/>
        <charset val="134"/>
        <scheme val="minor"/>
      </rPr>
      <t>（α=20°时）</t>
    </r>
  </si>
  <si>
    <r>
      <rPr>
        <sz val="11"/>
        <color theme="1"/>
        <rFont val="Tahoma"/>
        <charset val="134"/>
      </rPr>
      <t>8</t>
    </r>
    <r>
      <rPr>
        <sz val="11"/>
        <color theme="1"/>
        <rFont val="宋体"/>
        <charset val="134"/>
      </rPr>
      <t>级精度直接查表；高于</t>
    </r>
    <r>
      <rPr>
        <sz val="11"/>
        <color theme="1"/>
        <rFont val="Tahoma"/>
        <charset val="134"/>
      </rPr>
      <t>8</t>
    </r>
    <r>
      <rPr>
        <sz val="11"/>
        <color theme="1"/>
        <rFont val="宋体"/>
        <charset val="134"/>
      </rPr>
      <t>级，降低</t>
    </r>
    <r>
      <rPr>
        <sz val="11"/>
        <color theme="1"/>
        <rFont val="Tahoma"/>
        <charset val="134"/>
      </rPr>
      <t>5%~10%</t>
    </r>
    <r>
      <rPr>
        <sz val="11"/>
        <color theme="1"/>
        <rFont val="宋体"/>
        <charset val="134"/>
      </rPr>
      <t>；低于</t>
    </r>
    <r>
      <rPr>
        <sz val="11"/>
        <color theme="1"/>
        <rFont val="Tahoma"/>
        <charset val="134"/>
      </rPr>
      <t>8</t>
    </r>
    <r>
      <rPr>
        <sz val="11"/>
        <color theme="1"/>
        <rFont val="宋体"/>
        <charset val="134"/>
      </rPr>
      <t>级，增加</t>
    </r>
    <r>
      <rPr>
        <sz val="11"/>
        <color theme="1"/>
        <rFont val="Tahoma"/>
        <charset val="134"/>
      </rPr>
      <t xml:space="preserve">5%~10%
</t>
    </r>
  </si>
  <si>
    <t>最小分度圆d1</t>
  </si>
  <si>
    <t>表5 齿宽系数Φd（b/d1）  注：大小齿均为硬齿面时取小值，传递功率不大时Φd可小到0.2</t>
  </si>
  <si>
    <t>小齿轮装置状况</t>
  </si>
  <si>
    <t>对称支撑</t>
  </si>
  <si>
    <t>不对称支撑</t>
  </si>
  <si>
    <t>悬臂支撑</t>
  </si>
  <si>
    <t>非金属齿轮</t>
  </si>
  <si>
    <t>根据工作环境确定最小模数与最小分度圆、齿宽</t>
  </si>
  <si>
    <t>直齿和斜齿</t>
  </si>
  <si>
    <t>0.9~1.4</t>
  </si>
  <si>
    <t>0.7~1.15</t>
  </si>
  <si>
    <t>0.5~1.2</t>
  </si>
  <si>
    <t>开式齿轮</t>
  </si>
  <si>
    <t>m≥</t>
  </si>
  <si>
    <t>放大1.1~1.15倍</t>
  </si>
  <si>
    <t>人字齿轮</t>
  </si>
  <si>
    <t>1.2~1.9</t>
  </si>
  <si>
    <t>1.1~1.65</t>
  </si>
  <si>
    <t>闭式齿轮</t>
  </si>
  <si>
    <t>d1≥</t>
  </si>
  <si>
    <r>
      <rPr>
        <sz val="11"/>
        <color theme="1"/>
        <rFont val="宋体"/>
        <charset val="134"/>
        <scheme val="minor"/>
      </rPr>
      <t>表8 弯曲疲劳强度极限σ</t>
    </r>
    <r>
      <rPr>
        <vertAlign val="subscript"/>
        <sz val="14"/>
        <color theme="1"/>
        <rFont val="宋体"/>
        <charset val="134"/>
        <scheme val="minor"/>
      </rPr>
      <t>FE</t>
    </r>
  </si>
  <si>
    <t>齿宽</t>
  </si>
  <si>
    <t>b=</t>
  </si>
  <si>
    <t>Φdxd1</t>
  </si>
  <si>
    <t>小齿轮一般+5~10</t>
  </si>
  <si>
    <r>
      <rPr>
        <sz val="11"/>
        <color theme="1"/>
        <rFont val="宋体"/>
        <charset val="134"/>
        <scheme val="minor"/>
      </rPr>
      <t>表6 弯曲疲劳寿命系数K</t>
    </r>
    <r>
      <rPr>
        <vertAlign val="subscript"/>
        <sz val="14"/>
        <color theme="1"/>
        <rFont val="宋体"/>
        <charset val="134"/>
        <scheme val="minor"/>
      </rPr>
      <t>FN</t>
    </r>
    <r>
      <rPr>
        <sz val="11"/>
        <color theme="1"/>
        <rFont val="宋体"/>
        <charset val="134"/>
        <scheme val="minor"/>
      </rPr>
      <t xml:space="preserve"> </t>
    </r>
  </si>
  <si>
    <r>
      <rPr>
        <sz val="11"/>
        <color theme="1"/>
        <rFont val="宋体"/>
        <charset val="134"/>
        <scheme val="minor"/>
      </rPr>
      <t>表9 接触疲劳强度极限σ</t>
    </r>
    <r>
      <rPr>
        <vertAlign val="subscript"/>
        <sz val="14"/>
        <color theme="1"/>
        <rFont val="宋体"/>
        <charset val="134"/>
        <scheme val="minor"/>
      </rPr>
      <t>Hlim</t>
    </r>
  </si>
  <si>
    <r>
      <rPr>
        <sz val="11"/>
        <color theme="1"/>
        <rFont val="宋体"/>
        <charset val="134"/>
        <scheme val="minor"/>
      </rPr>
      <t>表7 接触疲劳寿命系数K</t>
    </r>
    <r>
      <rPr>
        <vertAlign val="subscript"/>
        <sz val="14"/>
        <color theme="1"/>
        <rFont val="宋体"/>
        <charset val="134"/>
        <scheme val="minor"/>
      </rPr>
      <t>HN</t>
    </r>
  </si>
  <si>
    <r>
      <rPr>
        <sz val="11"/>
        <color theme="1"/>
        <rFont val="宋体"/>
        <charset val="134"/>
        <scheme val="minor"/>
      </rPr>
      <t>表10 弹性影响系数Z</t>
    </r>
    <r>
      <rPr>
        <vertAlign val="subscript"/>
        <sz val="14"/>
        <color theme="1"/>
        <rFont val="宋体"/>
        <charset val="134"/>
        <scheme val="minor"/>
      </rPr>
      <t>E</t>
    </r>
    <r>
      <rPr>
        <sz val="11"/>
        <color theme="1"/>
        <rFont val="宋体"/>
        <charset val="134"/>
        <scheme val="minor"/>
      </rPr>
      <t>(MPa</t>
    </r>
    <r>
      <rPr>
        <vertAlign val="superscript"/>
        <sz val="12"/>
        <color theme="1"/>
        <rFont val="宋体"/>
        <charset val="134"/>
        <scheme val="minor"/>
      </rPr>
      <t>1/2</t>
    </r>
    <r>
      <rPr>
        <sz val="11"/>
        <color theme="1"/>
        <rFont val="宋体"/>
        <charset val="134"/>
        <scheme val="minor"/>
      </rPr>
      <t>)</t>
    </r>
  </si>
  <si>
    <t xml:space="preserve">     弹性模量
       E(MPa)
齿轮材料</t>
  </si>
  <si>
    <t>配对齿轮材料</t>
  </si>
  <si>
    <r>
      <rPr>
        <sz val="11"/>
        <color theme="1"/>
        <rFont val="宋体"/>
        <charset val="134"/>
        <scheme val="minor"/>
      </rPr>
      <t>说明： 
   1）开式齿轮传动：</t>
    </r>
    <r>
      <rPr>
        <sz val="11"/>
        <color rgb="FFFF0000"/>
        <rFont val="宋体"/>
        <charset val="134"/>
        <scheme val="minor"/>
      </rPr>
      <t>按齿根弯曲疲劳强度设计</t>
    </r>
    <r>
      <rPr>
        <sz val="11"/>
        <color theme="1"/>
        <rFont val="宋体"/>
        <charset val="134"/>
        <scheme val="minor"/>
      </rPr>
      <t>公式作齿轮的设计计算，不按齿面接触疲劳强度设计公式计算，也无需用齿面接触疲劳强度校核公式进行校核。开式齿轮传动，将计算所得模数</t>
    </r>
    <r>
      <rPr>
        <sz val="11"/>
        <color rgb="FFFF0000"/>
        <rFont val="宋体"/>
        <charset val="134"/>
        <scheme val="minor"/>
      </rPr>
      <t>加大10%-15%（</t>
    </r>
    <r>
      <rPr>
        <sz val="11"/>
        <color theme="1"/>
        <rFont val="宋体"/>
        <charset val="134"/>
        <scheme val="minor"/>
      </rPr>
      <t>考虑磨损影响。传递动力的齿轮模数</t>
    </r>
    <r>
      <rPr>
        <sz val="11"/>
        <color rgb="FFFF0000"/>
        <rFont val="宋体"/>
        <charset val="134"/>
        <scheme val="minor"/>
      </rPr>
      <t>一般不小于1.5-2mm</t>
    </r>
    <r>
      <rPr>
        <sz val="11"/>
        <color theme="1"/>
        <rFont val="宋体"/>
        <charset val="134"/>
        <scheme val="minor"/>
      </rPr>
      <t xml:space="preserve">（以防意外断齿）.
    2）闭式齿轮传动：
    方法一：
    软齿面(＜350HB/38HRC)闭式齿轮传动传动，接触疲劳点蚀是主要失效形式，计算时先按齿面接触疲劳强度设计公式求出小齿轮直径d1和接触齿宽b，再用齿根弯曲疲劳强度校核公式进行校核。
    硬齿面(＞350HB/38HRC)闭式齿轮传动计算时先按齿根弯曲疲劳强度设计公式求出模数m和接触齿宽b，再用齿面接触疲劳强度校核公式进行校核。
    方法二：
    </t>
    </r>
    <r>
      <rPr>
        <sz val="11"/>
        <color rgb="FFFF0000"/>
        <rFont val="宋体"/>
        <charset val="134"/>
        <scheme val="minor"/>
      </rPr>
      <t>不论软硬齿面都分别按弯曲疲劳强度设计公式求出模数m,按接触疲劳强度设计公式求出小齿轮分度圆直径d1</t>
    </r>
    <r>
      <rPr>
        <sz val="11"/>
        <color theme="1"/>
        <rFont val="宋体"/>
        <charset val="134"/>
        <scheme val="minor"/>
      </rPr>
      <t>，再按d1=mZ1调整齿数Z1。与方法一相比，这样设计出的齿轮传动，既刚好满足接触疲劳强度，又刚好满足弯曲疲劳强度，所以结构紧凑，避免浪费</t>
    </r>
  </si>
  <si>
    <t>灰铸铁</t>
  </si>
  <si>
    <t>铸钢</t>
  </si>
  <si>
    <t>锻钢</t>
  </si>
  <si>
    <t>夹布塑胶</t>
  </si>
  <si>
    <r>
      <rPr>
        <sz val="11"/>
        <color theme="1"/>
        <rFont val="宋体"/>
        <charset val="134"/>
        <scheme val="minor"/>
      </rPr>
      <t>11.8x10</t>
    </r>
    <r>
      <rPr>
        <vertAlign val="superscript"/>
        <sz val="11"/>
        <color theme="1"/>
        <rFont val="宋体"/>
        <charset val="134"/>
        <scheme val="minor"/>
      </rPr>
      <t>4</t>
    </r>
  </si>
  <si>
    <r>
      <rPr>
        <sz val="11"/>
        <color theme="1"/>
        <rFont val="宋体"/>
        <charset val="134"/>
        <scheme val="minor"/>
      </rPr>
      <t>17.3x10</t>
    </r>
    <r>
      <rPr>
        <vertAlign val="superscript"/>
        <sz val="11"/>
        <color theme="1"/>
        <rFont val="宋体"/>
        <charset val="134"/>
        <scheme val="minor"/>
      </rPr>
      <t>4</t>
    </r>
  </si>
  <si>
    <r>
      <rPr>
        <sz val="11"/>
        <color theme="1"/>
        <rFont val="宋体"/>
        <charset val="134"/>
        <scheme val="minor"/>
      </rPr>
      <t>20.2x10</t>
    </r>
    <r>
      <rPr>
        <vertAlign val="superscript"/>
        <sz val="11"/>
        <color theme="1"/>
        <rFont val="宋体"/>
        <charset val="134"/>
        <scheme val="minor"/>
      </rPr>
      <t>4</t>
    </r>
  </si>
  <si>
    <r>
      <rPr>
        <sz val="11"/>
        <color theme="1"/>
        <rFont val="宋体"/>
        <charset val="134"/>
        <scheme val="minor"/>
      </rPr>
      <t>20.4x10</t>
    </r>
    <r>
      <rPr>
        <vertAlign val="superscript"/>
        <sz val="11"/>
        <color theme="1"/>
        <rFont val="宋体"/>
        <charset val="134"/>
        <scheme val="minor"/>
      </rPr>
      <t>4</t>
    </r>
  </si>
  <si>
    <r>
      <rPr>
        <sz val="11"/>
        <color theme="1"/>
        <rFont val="宋体"/>
        <charset val="134"/>
        <scheme val="minor"/>
      </rPr>
      <t>0.785x10</t>
    </r>
    <r>
      <rPr>
        <vertAlign val="superscript"/>
        <sz val="11"/>
        <color theme="1"/>
        <rFont val="宋体"/>
        <charset val="134"/>
        <scheme val="minor"/>
      </rPr>
      <t>4</t>
    </r>
  </si>
  <si>
    <t>表中夹布塑胶泊松比0.5，其余均为0.3</t>
  </si>
  <si>
    <t xml:space="preserve">文档信息
编写：煜宸
参考：《机械设计——第八版》——蒲良贵、纪名刚
      《机械设计手册——第五版第三卷》——成大先
鸣谢：前桥教育——宣言老师                              2018.7.21
更新日志：
   2018.7.22更新--齿形系数YFa和应力矫正系数Ysa通过三阶函数自动计算，拟合度&gt;99% 。
   2018.7.23更新--兼容斜齿轮强度计算，脑壳都大了，短期不更新了，如果有错误请不吝指教，谢谢。
</t>
  </si>
  <si>
    <t>手动分割线</t>
  </si>
  <si>
    <t>附录1 各类机器所用齿轮传动的精度等级</t>
  </si>
  <si>
    <t>机器名称</t>
  </si>
  <si>
    <t>精度等级</t>
  </si>
  <si>
    <t>汽轮机</t>
  </si>
  <si>
    <t>3~6</t>
  </si>
  <si>
    <t>拖拉机</t>
  </si>
  <si>
    <t>6~8</t>
  </si>
  <si>
    <t>金属切削机床</t>
  </si>
  <si>
    <t>3~8</t>
  </si>
  <si>
    <t>通用减速器</t>
  </si>
  <si>
    <t>航空发动机</t>
  </si>
  <si>
    <t>4~8</t>
  </si>
  <si>
    <t>锻压机床</t>
  </si>
  <si>
    <t>6~9</t>
  </si>
  <si>
    <t>轻型汽车</t>
  </si>
  <si>
    <t>5~8</t>
  </si>
  <si>
    <t>起重机</t>
  </si>
  <si>
    <t>7~10</t>
  </si>
  <si>
    <t>载重汽车</t>
  </si>
  <si>
    <t>7~9</t>
  </si>
  <si>
    <t>农业机器</t>
  </si>
  <si>
    <t>8~11</t>
  </si>
  <si>
    <r>
      <rPr>
        <sz val="11"/>
        <color theme="1"/>
        <rFont val="宋体"/>
        <charset val="134"/>
        <scheme val="minor"/>
      </rPr>
      <t>附录2 齿形系数Y</t>
    </r>
    <r>
      <rPr>
        <vertAlign val="subscript"/>
        <sz val="14"/>
        <color theme="1"/>
        <rFont val="宋体"/>
        <charset val="134"/>
        <scheme val="minor"/>
      </rPr>
      <t>Fa</t>
    </r>
    <r>
      <rPr>
        <sz val="11"/>
        <color theme="1"/>
        <rFont val="宋体"/>
        <charset val="134"/>
        <scheme val="minor"/>
      </rPr>
      <t>和应力矫正系数Y</t>
    </r>
    <r>
      <rPr>
        <vertAlign val="subscript"/>
        <sz val="14"/>
        <color theme="1"/>
        <rFont val="宋体"/>
        <charset val="134"/>
        <scheme val="minor"/>
      </rPr>
      <t>sa</t>
    </r>
  </si>
  <si>
    <t>Z</t>
  </si>
  <si>
    <r>
      <rPr>
        <sz val="11"/>
        <color theme="1"/>
        <rFont val="宋体"/>
        <charset val="134"/>
        <scheme val="minor"/>
      </rPr>
      <t>Y</t>
    </r>
    <r>
      <rPr>
        <vertAlign val="subscript"/>
        <sz val="14"/>
        <color theme="1"/>
        <rFont val="宋体"/>
        <charset val="134"/>
        <scheme val="minor"/>
      </rPr>
      <t>Fa</t>
    </r>
  </si>
  <si>
    <r>
      <rPr>
        <sz val="11"/>
        <color theme="1"/>
        <rFont val="宋体"/>
        <charset val="134"/>
        <scheme val="minor"/>
      </rPr>
      <t>Y</t>
    </r>
    <r>
      <rPr>
        <vertAlign val="subscript"/>
        <sz val="14"/>
        <color theme="1"/>
        <rFont val="宋体"/>
        <charset val="134"/>
        <scheme val="minor"/>
      </rPr>
      <t>sa</t>
    </r>
  </si>
  <si>
    <t>∞</t>
  </si>
  <si>
    <r>
      <rPr>
        <sz val="11"/>
        <color theme="1"/>
        <rFont val="宋体"/>
        <charset val="134"/>
        <scheme val="minor"/>
      </rPr>
      <t>内齿轮Y</t>
    </r>
    <r>
      <rPr>
        <vertAlign val="subscript"/>
        <sz val="14"/>
        <color theme="1"/>
        <rFont val="宋体"/>
        <charset val="134"/>
        <scheme val="minor"/>
      </rPr>
      <t>Fa</t>
    </r>
    <r>
      <rPr>
        <sz val="11"/>
        <color theme="1"/>
        <rFont val="宋体"/>
        <charset val="134"/>
        <scheme val="minor"/>
      </rPr>
      <t>=2.05，Y</t>
    </r>
    <r>
      <rPr>
        <vertAlign val="subscript"/>
        <sz val="14"/>
        <color theme="1"/>
        <rFont val="宋体"/>
        <charset val="134"/>
        <scheme val="minor"/>
      </rPr>
      <t>sa</t>
    </r>
    <r>
      <rPr>
        <sz val="11"/>
        <color theme="1"/>
        <rFont val="宋体"/>
        <charset val="134"/>
        <scheme val="minor"/>
      </rPr>
      <t>=2.65</t>
    </r>
  </si>
  <si>
    <t>附录3 所用公式一栏</t>
  </si>
  <si>
    <t>类别</t>
  </si>
  <si>
    <t>公式</t>
  </si>
  <si>
    <t>圆柱直齿轮</t>
  </si>
  <si>
    <t>按齿根弯曲疲劳强度计算</t>
  </si>
  <si>
    <t>按齿面接触疲劳强度计算</t>
  </si>
  <si>
    <t>许用应力[σF]</t>
  </si>
  <si>
    <r>
      <rPr>
        <sz val="11"/>
        <color theme="1"/>
        <rFont val="宋体"/>
        <charset val="134"/>
        <scheme val="minor"/>
      </rPr>
      <t>[σ</t>
    </r>
    <r>
      <rPr>
        <vertAlign val="subscript"/>
        <sz val="14"/>
        <color theme="1"/>
        <rFont val="宋体"/>
        <charset val="134"/>
        <scheme val="minor"/>
      </rPr>
      <t>F</t>
    </r>
    <r>
      <rPr>
        <sz val="11"/>
        <color theme="1"/>
        <rFont val="宋体"/>
        <charset val="134"/>
        <scheme val="minor"/>
      </rPr>
      <t>]=K</t>
    </r>
    <r>
      <rPr>
        <vertAlign val="subscript"/>
        <sz val="14"/>
        <color theme="1"/>
        <rFont val="宋体"/>
        <charset val="134"/>
        <scheme val="minor"/>
      </rPr>
      <t>N</t>
    </r>
    <r>
      <rPr>
        <sz val="11"/>
        <color theme="1"/>
        <rFont val="宋体"/>
        <charset val="134"/>
        <scheme val="minor"/>
      </rPr>
      <t>*σ</t>
    </r>
    <r>
      <rPr>
        <vertAlign val="subscript"/>
        <sz val="14"/>
        <color theme="1"/>
        <rFont val="宋体"/>
        <charset val="134"/>
        <scheme val="minor"/>
      </rPr>
      <t>FE</t>
    </r>
    <r>
      <rPr>
        <sz val="11"/>
        <color theme="1"/>
        <rFont val="宋体"/>
        <charset val="134"/>
        <scheme val="minor"/>
      </rPr>
      <t>/S</t>
    </r>
  </si>
  <si>
    <t>S取1.5</t>
  </si>
  <si>
    <t>许用应力[σH]</t>
  </si>
  <si>
    <r>
      <rPr>
        <sz val="11"/>
        <color theme="1"/>
        <rFont val="宋体"/>
        <charset val="134"/>
        <scheme val="minor"/>
      </rPr>
      <t>[σ</t>
    </r>
    <r>
      <rPr>
        <vertAlign val="subscript"/>
        <sz val="11"/>
        <color theme="1"/>
        <rFont val="宋体"/>
        <charset val="134"/>
        <scheme val="minor"/>
      </rPr>
      <t>H</t>
    </r>
    <r>
      <rPr>
        <sz val="11"/>
        <color theme="1"/>
        <rFont val="宋体"/>
        <charset val="134"/>
        <scheme val="minor"/>
      </rPr>
      <t>]=K</t>
    </r>
    <r>
      <rPr>
        <vertAlign val="subscript"/>
        <sz val="14"/>
        <color theme="1"/>
        <rFont val="宋体"/>
        <charset val="134"/>
        <scheme val="minor"/>
      </rPr>
      <t>N</t>
    </r>
    <r>
      <rPr>
        <sz val="11"/>
        <color theme="1"/>
        <rFont val="宋体"/>
        <charset val="134"/>
        <scheme val="minor"/>
      </rPr>
      <t>*σ</t>
    </r>
    <r>
      <rPr>
        <vertAlign val="subscript"/>
        <sz val="14"/>
        <color theme="1"/>
        <rFont val="宋体"/>
        <charset val="134"/>
        <scheme val="minor"/>
      </rPr>
      <t>Hlim</t>
    </r>
    <r>
      <rPr>
        <sz val="11"/>
        <color theme="1"/>
        <rFont val="宋体"/>
        <charset val="134"/>
        <scheme val="minor"/>
      </rPr>
      <t>/S</t>
    </r>
  </si>
  <si>
    <t>S取1</t>
  </si>
  <si>
    <t>圆柱斜齿轮</t>
  </si>
  <si>
    <r>
      <rPr>
        <sz val="11"/>
        <color theme="1"/>
        <rFont val="宋体"/>
        <charset val="134"/>
        <scheme val="minor"/>
      </rPr>
      <t>Y</t>
    </r>
    <r>
      <rPr>
        <vertAlign val="subscript"/>
        <sz val="14"/>
        <color theme="1"/>
        <rFont val="宋体"/>
        <charset val="134"/>
        <scheme val="minor"/>
      </rPr>
      <t>Fs</t>
    </r>
    <r>
      <rPr>
        <sz val="11"/>
        <color theme="1"/>
        <rFont val="宋体"/>
        <charset val="134"/>
        <scheme val="minor"/>
      </rPr>
      <t>和Y</t>
    </r>
    <r>
      <rPr>
        <vertAlign val="subscript"/>
        <sz val="14"/>
        <color theme="1"/>
        <rFont val="宋体"/>
        <charset val="134"/>
        <scheme val="minor"/>
      </rPr>
      <t>Sa</t>
    </r>
    <r>
      <rPr>
        <sz val="11"/>
        <color theme="1"/>
        <rFont val="宋体"/>
        <charset val="134"/>
        <scheme val="minor"/>
      </rPr>
      <t>按照当量齿数计算，</t>
    </r>
  </si>
  <si>
    <r>
      <rPr>
        <sz val="11"/>
        <color theme="1"/>
        <rFont val="宋体"/>
        <charset val="134"/>
        <scheme val="minor"/>
      </rPr>
      <t>端面重合度ε</t>
    </r>
    <r>
      <rPr>
        <vertAlign val="subscript"/>
        <sz val="14"/>
        <color theme="1"/>
        <rFont val="宋体"/>
        <charset val="134"/>
        <scheme val="minor"/>
      </rPr>
      <t>α</t>
    </r>
  </si>
  <si>
    <r>
      <rPr>
        <sz val="11"/>
        <color theme="1"/>
        <rFont val="宋体"/>
        <charset val="134"/>
        <scheme val="minor"/>
      </rPr>
      <t>纵向重合度ε</t>
    </r>
    <r>
      <rPr>
        <vertAlign val="subscript"/>
        <sz val="14"/>
        <color theme="1"/>
        <rFont val="宋体"/>
        <charset val="134"/>
        <scheme val="minor"/>
      </rPr>
      <t>β</t>
    </r>
  </si>
  <si>
    <r>
      <rPr>
        <sz val="11"/>
        <color theme="1"/>
        <rFont val="宋体"/>
        <charset val="134"/>
        <scheme val="minor"/>
      </rPr>
      <t xml:space="preserve">    查询螺旋角影响
    系数Y</t>
    </r>
    <r>
      <rPr>
        <vertAlign val="subscript"/>
        <sz val="14"/>
        <color theme="1"/>
        <rFont val="宋体"/>
        <charset val="134"/>
        <scheme val="minor"/>
      </rPr>
      <t>β</t>
    </r>
    <r>
      <rPr>
        <sz val="11"/>
        <color theme="1"/>
        <rFont val="宋体"/>
        <charset val="134"/>
        <scheme val="minor"/>
      </rPr>
      <t>需要</t>
    </r>
  </si>
  <si>
    <t>圆锥齿轮强度计算与校核</t>
  </si>
  <si>
    <r>
      <rPr>
        <sz val="11"/>
        <color theme="1"/>
        <rFont val="宋体"/>
        <charset val="134"/>
        <scheme val="minor"/>
      </rPr>
      <t>K</t>
    </r>
    <r>
      <rPr>
        <vertAlign val="subscript"/>
        <sz val="11"/>
        <color theme="1"/>
        <rFont val="宋体"/>
        <charset val="134"/>
        <scheme val="minor"/>
      </rPr>
      <t>Fα</t>
    </r>
    <r>
      <rPr>
        <sz val="11"/>
        <color theme="1"/>
        <rFont val="宋体"/>
        <charset val="134"/>
        <scheme val="minor"/>
      </rPr>
      <t>=K</t>
    </r>
    <r>
      <rPr>
        <vertAlign val="subscript"/>
        <sz val="11"/>
        <color theme="1"/>
        <rFont val="宋体"/>
        <charset val="134"/>
        <scheme val="minor"/>
      </rPr>
      <t>Hα</t>
    </r>
    <r>
      <rPr>
        <sz val="11"/>
        <color theme="1"/>
        <rFont val="宋体"/>
        <charset val="134"/>
        <scheme val="minor"/>
      </rPr>
      <t>=1</t>
    </r>
  </si>
  <si>
    <t>表3</t>
  </si>
  <si>
    <r>
      <rPr>
        <sz val="11"/>
        <color theme="1"/>
        <rFont val="宋体"/>
        <charset val="134"/>
        <scheme val="minor"/>
      </rPr>
      <t>齿宽系数Φ</t>
    </r>
    <r>
      <rPr>
        <vertAlign val="subscript"/>
        <sz val="14"/>
        <color theme="1"/>
        <rFont val="宋体"/>
        <charset val="134"/>
        <scheme val="minor"/>
      </rPr>
      <t>R</t>
    </r>
  </si>
  <si>
    <t>齿宽b/锥距R</t>
  </si>
  <si>
    <t>0.25~0.35，通常取1/3</t>
  </si>
  <si>
    <t>表3 齿向载荷分布Kβ</t>
  </si>
  <si>
    <t>分锥角δ(°)</t>
  </si>
  <si>
    <t>tanδ1=Z1/Z2</t>
  </si>
  <si>
    <t xml:space="preserve">      支撑方式
应用领域</t>
  </si>
  <si>
    <t>小轮和大轮的支撑</t>
  </si>
  <si>
    <r>
      <rPr>
        <sz val="11"/>
        <color theme="1"/>
        <rFont val="宋体"/>
        <charset val="134"/>
        <scheme val="minor"/>
      </rPr>
      <t>斜齿轮当量齿数Z</t>
    </r>
    <r>
      <rPr>
        <vertAlign val="subscript"/>
        <sz val="14"/>
        <color theme="1"/>
        <rFont val="宋体"/>
        <charset val="134"/>
        <scheme val="minor"/>
      </rPr>
      <t>v</t>
    </r>
  </si>
  <si>
    <t>Zv=Z/cosδ</t>
  </si>
  <si>
    <t>均为两端支撑</t>
  </si>
  <si>
    <t>一两端、一悬臂</t>
  </si>
  <si>
    <t>均为悬臂</t>
  </si>
  <si>
    <t>汽车、飞机</t>
  </si>
  <si>
    <t>工业、船舶</t>
  </si>
  <si>
    <r>
      <rPr>
        <sz val="11"/>
        <color theme="1"/>
        <rFont val="宋体"/>
        <charset val="134"/>
        <scheme val="minor"/>
      </rPr>
      <t>表4 弯曲疲劳寿命系数K</t>
    </r>
    <r>
      <rPr>
        <vertAlign val="subscript"/>
        <sz val="14"/>
        <color theme="1"/>
        <rFont val="宋体"/>
        <charset val="134"/>
        <scheme val="minor"/>
      </rPr>
      <t>FN</t>
    </r>
    <r>
      <rPr>
        <sz val="11"/>
        <color theme="1"/>
        <rFont val="宋体"/>
        <charset val="134"/>
        <scheme val="minor"/>
      </rPr>
      <t xml:space="preserve"> </t>
    </r>
  </si>
  <si>
    <r>
      <rPr>
        <sz val="11"/>
        <color theme="1"/>
        <rFont val="宋体"/>
        <charset val="134"/>
        <scheme val="minor"/>
      </rPr>
      <t>表5 接触疲劳寿命系数K</t>
    </r>
    <r>
      <rPr>
        <vertAlign val="subscript"/>
        <sz val="14"/>
        <color theme="1"/>
        <rFont val="宋体"/>
        <charset val="134"/>
        <scheme val="minor"/>
      </rPr>
      <t>HN</t>
    </r>
  </si>
  <si>
    <t>表6中ML与MQ</t>
  </si>
  <si>
    <t>锥齿轮最小模数m</t>
  </si>
  <si>
    <t>公式见附录</t>
  </si>
  <si>
    <t>表7中ML与MQ</t>
  </si>
  <si>
    <t>表8</t>
  </si>
  <si>
    <r>
      <rPr>
        <sz val="11"/>
        <color theme="1"/>
        <rFont val="宋体"/>
        <charset val="134"/>
        <scheme val="minor"/>
      </rPr>
      <t>表6 弯曲疲劳强度极限σ</t>
    </r>
    <r>
      <rPr>
        <vertAlign val="subscript"/>
        <sz val="14"/>
        <color theme="1"/>
        <rFont val="宋体"/>
        <charset val="134"/>
        <scheme val="minor"/>
      </rPr>
      <t>FE</t>
    </r>
  </si>
  <si>
    <t>锥齿轮最小分度圆d1</t>
  </si>
  <si>
    <t>根据工作环境确定最小模数与最小分度圆</t>
  </si>
  <si>
    <r>
      <rPr>
        <sz val="11"/>
        <color theme="1"/>
        <rFont val="宋体"/>
        <charset val="134"/>
        <scheme val="minor"/>
      </rPr>
      <t>表7 接触疲劳强度极限σ</t>
    </r>
    <r>
      <rPr>
        <vertAlign val="subscript"/>
        <sz val="14"/>
        <color theme="1"/>
        <rFont val="宋体"/>
        <charset val="134"/>
        <scheme val="minor"/>
      </rPr>
      <t>Hlim</t>
    </r>
  </si>
  <si>
    <t xml:space="preserve">文档信息
编写：煜宸
参考：《机械设计——第八版》——蒲良贵、纪名刚
      《机械设计手册——第五版第三卷》——成大先
                                                 2018.7.27
更新日志：
  </t>
  </si>
  <si>
    <r>
      <rPr>
        <sz val="11"/>
        <color theme="1"/>
        <rFont val="宋体"/>
        <charset val="134"/>
        <scheme val="minor"/>
      </rPr>
      <t>表8 弹性影响系数Z</t>
    </r>
    <r>
      <rPr>
        <vertAlign val="subscript"/>
        <sz val="14"/>
        <color theme="1"/>
        <rFont val="宋体"/>
        <charset val="134"/>
        <scheme val="minor"/>
      </rPr>
      <t>E</t>
    </r>
    <r>
      <rPr>
        <sz val="11"/>
        <color theme="1"/>
        <rFont val="宋体"/>
        <charset val="134"/>
        <scheme val="minor"/>
      </rPr>
      <t>(MPa</t>
    </r>
    <r>
      <rPr>
        <vertAlign val="superscript"/>
        <sz val="12"/>
        <color theme="1"/>
        <rFont val="宋体"/>
        <charset val="134"/>
        <scheme val="minor"/>
      </rPr>
      <t>1/2</t>
    </r>
    <r>
      <rPr>
        <sz val="11"/>
        <color theme="1"/>
        <rFont val="宋体"/>
        <charset val="134"/>
        <scheme val="minor"/>
      </rPr>
      <t>)</t>
    </r>
  </si>
  <si>
    <t>附录 所用公式</t>
  </si>
  <si>
    <t xml:space="preserve">     按齿根弯曲
     疲劳强度计
     算</t>
  </si>
  <si>
    <t>按齿面接触
疲劳强度计
算</t>
  </si>
  <si>
    <t>蜗轮蜗杆强度计算与校核</t>
  </si>
  <si>
    <t>蜗轮按齿面接触疲劳强度计算最小中心距</t>
  </si>
  <si>
    <t>工作类型</t>
  </si>
  <si>
    <t>I</t>
  </si>
  <si>
    <t>II</t>
  </si>
  <si>
    <t>III</t>
  </si>
  <si>
    <r>
      <rPr>
        <sz val="11"/>
        <color theme="1"/>
        <rFont val="宋体"/>
        <charset val="134"/>
        <scheme val="minor"/>
      </rPr>
      <t>载荷分布系数
K=K</t>
    </r>
    <r>
      <rPr>
        <vertAlign val="subscript"/>
        <sz val="14"/>
        <color theme="1"/>
        <rFont val="宋体"/>
        <charset val="134"/>
        <scheme val="minor"/>
      </rPr>
      <t>A</t>
    </r>
    <r>
      <rPr>
        <sz val="11"/>
        <color theme="1"/>
        <rFont val="宋体"/>
        <charset val="134"/>
        <scheme val="minor"/>
      </rPr>
      <t>*K</t>
    </r>
    <r>
      <rPr>
        <vertAlign val="subscript"/>
        <sz val="14"/>
        <color theme="1"/>
        <rFont val="宋体"/>
        <charset val="134"/>
        <scheme val="minor"/>
      </rPr>
      <t>V</t>
    </r>
    <r>
      <rPr>
        <sz val="11"/>
        <color theme="1"/>
        <rFont val="宋体"/>
        <charset val="134"/>
        <scheme val="minor"/>
      </rPr>
      <t>*K</t>
    </r>
    <r>
      <rPr>
        <vertAlign val="subscript"/>
        <sz val="14"/>
        <color theme="1"/>
        <rFont val="宋体"/>
        <charset val="134"/>
        <scheme val="minor"/>
      </rPr>
      <t>β</t>
    </r>
    <r>
      <rPr>
        <sz val="11"/>
        <color theme="1"/>
        <rFont val="宋体"/>
        <charset val="134"/>
        <scheme val="minor"/>
      </rPr>
      <t>=</t>
    </r>
  </si>
  <si>
    <t>均匀无冲击</t>
  </si>
  <si>
    <t>不均匀小冲击</t>
  </si>
  <si>
    <t>不均匀大冲击</t>
  </si>
  <si>
    <t>每小时启动次数</t>
  </si>
  <si>
    <t>＜25</t>
  </si>
  <si>
    <t>25~50</t>
  </si>
  <si>
    <t>＞50</t>
  </si>
  <si>
    <t>启动载荷</t>
  </si>
  <si>
    <t>小</t>
  </si>
  <si>
    <t>较大</t>
  </si>
  <si>
    <t>大</t>
  </si>
  <si>
    <r>
      <rPr>
        <sz val="11"/>
        <color rgb="FFFF0000"/>
        <rFont val="宋体"/>
        <charset val="134"/>
        <scheme val="minor"/>
      </rPr>
      <t>蜗杆</t>
    </r>
    <r>
      <rPr>
        <sz val="11"/>
        <color theme="1"/>
        <rFont val="宋体"/>
        <charset val="134"/>
        <scheme val="minor"/>
      </rPr>
      <t>类型</t>
    </r>
  </si>
  <si>
    <t>ZI/ZA/ZN/ZK螺杆</t>
  </si>
  <si>
    <t>左侧下拉菜单选择</t>
  </si>
  <si>
    <r>
      <rPr>
        <sz val="11"/>
        <color theme="1"/>
        <rFont val="宋体"/>
        <charset val="134"/>
        <scheme val="minor"/>
      </rPr>
      <t>K</t>
    </r>
    <r>
      <rPr>
        <vertAlign val="subscript"/>
        <sz val="14"/>
        <color theme="1"/>
        <rFont val="宋体"/>
        <charset val="134"/>
        <scheme val="minor"/>
      </rPr>
      <t>A</t>
    </r>
  </si>
  <si>
    <t>蜗轮材料</t>
  </si>
  <si>
    <t>锡青铜</t>
  </si>
  <si>
    <t>注：小值用于每日偶尔工作，大值用于长期连续工作</t>
  </si>
  <si>
    <t>ZC圆弧螺杆</t>
  </si>
  <si>
    <t xml:space="preserve">表2 动载系数Kv   </t>
  </si>
  <si>
    <t>灰铸铁或铝铁青铜</t>
  </si>
  <si>
    <r>
      <rPr>
        <sz val="11"/>
        <color rgb="FFFF0000"/>
        <rFont val="宋体"/>
        <charset val="134"/>
        <scheme val="minor"/>
      </rPr>
      <t>蜗杆</t>
    </r>
    <r>
      <rPr>
        <sz val="11"/>
        <color theme="1"/>
        <rFont val="宋体"/>
        <charset val="134"/>
        <scheme val="minor"/>
      </rPr>
      <t>头数Z</t>
    </r>
    <r>
      <rPr>
        <vertAlign val="subscript"/>
        <sz val="14"/>
        <color theme="1"/>
        <rFont val="宋体"/>
        <charset val="134"/>
        <scheme val="minor"/>
      </rPr>
      <t>1</t>
    </r>
  </si>
  <si>
    <t>应用</t>
  </si>
  <si>
    <t xml:space="preserve">齿轮机床分度副读数装置的精密传动，
电动调速传动
</t>
  </si>
  <si>
    <t>齿轮机床或高精机床的进给系统，工业用高速或重载调速器，一般读数装置</t>
  </si>
  <si>
    <t>一般机床的进给调速系统，工业用一般调速及动力传动装置</t>
  </si>
  <si>
    <t>圆周速度较小，每天工作时间较短的传动</t>
  </si>
  <si>
    <t>低速、不重要的传动或手动机构</t>
  </si>
  <si>
    <r>
      <rPr>
        <sz val="11"/>
        <color theme="1"/>
        <rFont val="宋体"/>
        <charset val="134"/>
        <scheme val="minor"/>
      </rPr>
      <t>蜗轮齿数Z</t>
    </r>
    <r>
      <rPr>
        <vertAlign val="subscript"/>
        <sz val="14"/>
        <color theme="1"/>
        <rFont val="宋体"/>
        <charset val="134"/>
        <scheme val="minor"/>
      </rPr>
      <t>2</t>
    </r>
  </si>
  <si>
    <r>
      <rPr>
        <sz val="11"/>
        <color rgb="FFFF0000"/>
        <rFont val="宋体"/>
        <charset val="134"/>
        <scheme val="minor"/>
      </rPr>
      <t>蜗杆</t>
    </r>
    <r>
      <rPr>
        <sz val="11"/>
        <color theme="1"/>
        <rFont val="宋体"/>
        <charset val="134"/>
        <scheme val="minor"/>
      </rPr>
      <t>转速n1（r/min）</t>
    </r>
  </si>
  <si>
    <t>n1</t>
  </si>
  <si>
    <t>蜗轮转速n2（r/min）</t>
  </si>
  <si>
    <t>n2</t>
  </si>
  <si>
    <r>
      <rPr>
        <sz val="11"/>
        <color rgb="FFFF0000"/>
        <rFont val="宋体"/>
        <charset val="134"/>
        <scheme val="minor"/>
      </rPr>
      <t>蜗杆</t>
    </r>
    <r>
      <rPr>
        <sz val="11"/>
        <color theme="1"/>
        <rFont val="宋体"/>
        <charset val="134"/>
        <scheme val="minor"/>
      </rPr>
      <t>输入功率与转矩 2选1输入</t>
    </r>
  </si>
  <si>
    <r>
      <rPr>
        <sz val="11"/>
        <color theme="1"/>
        <rFont val="宋体"/>
        <charset val="134"/>
        <scheme val="minor"/>
      </rPr>
      <t>若已知P</t>
    </r>
    <r>
      <rPr>
        <vertAlign val="subscript"/>
        <sz val="14"/>
        <color theme="1"/>
        <rFont val="宋体"/>
        <charset val="134"/>
        <scheme val="minor"/>
      </rPr>
      <t>1</t>
    </r>
    <r>
      <rPr>
        <sz val="11"/>
        <color theme="1"/>
        <rFont val="宋体"/>
        <charset val="134"/>
        <scheme val="minor"/>
      </rPr>
      <t>(kw)</t>
    </r>
  </si>
  <si>
    <t>蜗轮V2（m/s）</t>
  </si>
  <si>
    <t>≥7.5</t>
  </si>
  <si>
    <t>≥5</t>
  </si>
  <si>
    <t>≤7.5</t>
  </si>
  <si>
    <t>≤3</t>
  </si>
  <si>
    <t>≤1.5</t>
  </si>
  <si>
    <r>
      <rPr>
        <sz val="11"/>
        <color theme="1"/>
        <rFont val="宋体"/>
        <charset val="134"/>
        <scheme val="minor"/>
      </rPr>
      <t>若已知T</t>
    </r>
    <r>
      <rPr>
        <vertAlign val="subscript"/>
        <sz val="14"/>
        <color theme="1"/>
        <rFont val="宋体"/>
        <charset val="134"/>
        <scheme val="minor"/>
      </rPr>
      <t>1</t>
    </r>
    <r>
      <rPr>
        <sz val="11"/>
        <color theme="1"/>
        <rFont val="宋体"/>
        <charset val="134"/>
        <scheme val="minor"/>
      </rPr>
      <t>(N.mm)</t>
    </r>
  </si>
  <si>
    <t>速度</t>
  </si>
  <si>
    <r>
      <rPr>
        <sz val="11"/>
        <color theme="1"/>
        <rFont val="宋体"/>
        <charset val="134"/>
        <scheme val="minor"/>
      </rPr>
      <t>精确制造且v</t>
    </r>
    <r>
      <rPr>
        <vertAlign val="subscript"/>
        <sz val="14"/>
        <color theme="1"/>
        <rFont val="宋体"/>
        <charset val="134"/>
        <scheme val="minor"/>
      </rPr>
      <t>2</t>
    </r>
    <r>
      <rPr>
        <sz val="11"/>
        <color theme="1"/>
        <rFont val="宋体"/>
        <charset val="134"/>
        <scheme val="minor"/>
      </rPr>
      <t>≤3m/S</t>
    </r>
  </si>
  <si>
    <r>
      <rPr>
        <sz val="11"/>
        <color theme="1"/>
        <rFont val="宋体"/>
        <charset val="134"/>
        <scheme val="minor"/>
      </rPr>
      <t>v</t>
    </r>
    <r>
      <rPr>
        <vertAlign val="subscript"/>
        <sz val="14"/>
        <color theme="1"/>
        <rFont val="宋体"/>
        <charset val="134"/>
        <scheme val="minor"/>
      </rPr>
      <t>2</t>
    </r>
    <r>
      <rPr>
        <sz val="11"/>
        <color theme="1"/>
        <rFont val="宋体"/>
        <charset val="134"/>
        <scheme val="minor"/>
      </rPr>
      <t>＞3m/S</t>
    </r>
  </si>
  <si>
    <t>蜗杆蜗轮传动效率（估值）η</t>
  </si>
  <si>
    <t>Kv</t>
  </si>
  <si>
    <t>1.1~1.2</t>
  </si>
  <si>
    <t>蜗轮输入转矩T2(N.mm)</t>
  </si>
  <si>
    <t>T2=ηuT1</t>
  </si>
  <si>
    <r>
      <rPr>
        <sz val="11"/>
        <color theme="1"/>
        <rFont val="宋体"/>
        <charset val="134"/>
        <scheme val="minor"/>
      </rPr>
      <t>表3 齿向载荷分布K</t>
    </r>
    <r>
      <rPr>
        <vertAlign val="subscript"/>
        <sz val="14"/>
        <color theme="1"/>
        <rFont val="宋体"/>
        <charset val="134"/>
        <scheme val="minor"/>
      </rPr>
      <t>β</t>
    </r>
  </si>
  <si>
    <t>N=60nL</t>
  </si>
  <si>
    <t>平稳载荷</t>
  </si>
  <si>
    <t>载荷变化较大,或有冲击 振动时</t>
  </si>
  <si>
    <r>
      <rPr>
        <sz val="11"/>
        <color theme="1"/>
        <rFont val="宋体"/>
        <charset val="134"/>
        <scheme val="minor"/>
      </rPr>
      <t>寿命系数K</t>
    </r>
    <r>
      <rPr>
        <vertAlign val="subscript"/>
        <sz val="14"/>
        <color theme="1"/>
        <rFont val="宋体"/>
        <charset val="134"/>
        <scheme val="minor"/>
      </rPr>
      <t>HN</t>
    </r>
  </si>
  <si>
    <r>
      <rPr>
        <sz val="11"/>
        <color theme="1"/>
        <rFont val="宋体"/>
        <charset val="134"/>
        <scheme val="minor"/>
      </rPr>
      <t>(10</t>
    </r>
    <r>
      <rPr>
        <vertAlign val="superscript"/>
        <sz val="12"/>
        <color theme="1"/>
        <rFont val="宋体"/>
        <charset val="134"/>
        <scheme val="minor"/>
      </rPr>
      <t>7</t>
    </r>
    <r>
      <rPr>
        <sz val="11"/>
        <color theme="1"/>
        <rFont val="宋体"/>
        <charset val="134"/>
        <scheme val="minor"/>
      </rPr>
      <t>/N)</t>
    </r>
    <r>
      <rPr>
        <vertAlign val="superscript"/>
        <sz val="12"/>
        <color theme="1"/>
        <rFont val="宋体"/>
        <charset val="134"/>
        <scheme val="minor"/>
      </rPr>
      <t>1/8</t>
    </r>
  </si>
  <si>
    <r>
      <rPr>
        <sz val="11"/>
        <color theme="1"/>
        <rFont val="宋体"/>
        <charset val="134"/>
        <scheme val="minor"/>
      </rPr>
      <t>K</t>
    </r>
    <r>
      <rPr>
        <vertAlign val="subscript"/>
        <sz val="14"/>
        <color theme="1"/>
        <rFont val="宋体"/>
        <charset val="134"/>
        <scheme val="minor"/>
      </rPr>
      <t>β</t>
    </r>
  </si>
  <si>
    <t>1.3~1.6</t>
  </si>
  <si>
    <r>
      <rPr>
        <sz val="11"/>
        <color theme="1"/>
        <rFont val="宋体"/>
        <charset val="134"/>
        <scheme val="minor"/>
      </rPr>
      <t>材料弹性影响系数Z</t>
    </r>
    <r>
      <rPr>
        <vertAlign val="subscript"/>
        <sz val="14"/>
        <color theme="1"/>
        <rFont val="宋体"/>
        <charset val="134"/>
        <scheme val="minor"/>
      </rPr>
      <t>E(MP</t>
    </r>
    <r>
      <rPr>
        <vertAlign val="superscript"/>
        <sz val="12"/>
        <color theme="1"/>
        <rFont val="宋体"/>
        <charset val="134"/>
        <scheme val="minor"/>
      </rPr>
      <t>1/2</t>
    </r>
    <r>
      <rPr>
        <vertAlign val="subscript"/>
        <sz val="14"/>
        <color theme="1"/>
        <rFont val="宋体"/>
        <charset val="134"/>
        <scheme val="minor"/>
      </rPr>
      <t>)</t>
    </r>
  </si>
  <si>
    <r>
      <rPr>
        <sz val="10"/>
        <color theme="1"/>
        <rFont val="宋体"/>
        <charset val="134"/>
        <scheme val="minor"/>
      </rPr>
      <t>铸铁/青铜蜗轮+钢蜗杆160MP</t>
    </r>
    <r>
      <rPr>
        <vertAlign val="superscript"/>
        <sz val="10"/>
        <color theme="1"/>
        <rFont val="宋体"/>
        <charset val="134"/>
        <scheme val="minor"/>
      </rPr>
      <t>1/2</t>
    </r>
  </si>
  <si>
    <t>d1/a值</t>
  </si>
  <si>
    <r>
      <rPr>
        <sz val="11"/>
        <color theme="1"/>
        <rFont val="宋体"/>
        <charset val="134"/>
        <scheme val="minor"/>
      </rPr>
      <t>即2q/（q+z</t>
    </r>
    <r>
      <rPr>
        <vertAlign val="subscript"/>
        <sz val="14"/>
        <color theme="1"/>
        <rFont val="宋体"/>
        <charset val="134"/>
        <scheme val="minor"/>
      </rPr>
      <t>2</t>
    </r>
    <r>
      <rPr>
        <sz val="11"/>
        <color theme="1"/>
        <rFont val="宋体"/>
        <charset val="134"/>
        <scheme val="minor"/>
      </rPr>
      <t>）</t>
    </r>
  </si>
  <si>
    <t>先预估后验证</t>
  </si>
  <si>
    <t>表4 Z1与Z2推荐值、传动效率估值</t>
  </si>
  <si>
    <r>
      <rPr>
        <sz val="11"/>
        <color theme="1"/>
        <rFont val="宋体"/>
        <charset val="134"/>
        <scheme val="minor"/>
      </rPr>
      <t>接触系数Z</t>
    </r>
    <r>
      <rPr>
        <vertAlign val="subscript"/>
        <sz val="14"/>
        <color theme="1"/>
        <rFont val="宋体"/>
        <charset val="134"/>
        <scheme val="minor"/>
      </rPr>
      <t>ρ</t>
    </r>
  </si>
  <si>
    <t>i=Z2/Z1</t>
  </si>
  <si>
    <t>5左右</t>
  </si>
  <si>
    <t>7~15</t>
  </si>
  <si>
    <t>14~30</t>
  </si>
  <si>
    <t>29~82</t>
  </si>
  <si>
    <t>自锁蜗杆</t>
  </si>
  <si>
    <r>
      <rPr>
        <sz val="11"/>
        <color theme="1"/>
        <rFont val="宋体"/>
        <charset val="134"/>
        <scheme val="minor"/>
      </rPr>
      <t>基本许用应力[σ</t>
    </r>
    <r>
      <rPr>
        <vertAlign val="subscript"/>
        <sz val="14"/>
        <color theme="1"/>
        <rFont val="宋体"/>
        <charset val="134"/>
        <scheme val="minor"/>
      </rPr>
      <t>H</t>
    </r>
    <r>
      <rPr>
        <sz val="11"/>
        <color theme="1"/>
        <rFont val="宋体"/>
        <charset val="134"/>
        <scheme val="minor"/>
      </rPr>
      <t>]'</t>
    </r>
  </si>
  <si>
    <t>表5或表6</t>
  </si>
  <si>
    <t>Z1</t>
  </si>
  <si>
    <r>
      <rPr>
        <sz val="10"/>
        <color theme="1"/>
        <rFont val="宋体"/>
        <charset val="134"/>
        <scheme val="minor"/>
      </rPr>
      <t>[σ]=K</t>
    </r>
    <r>
      <rPr>
        <vertAlign val="subscript"/>
        <sz val="14"/>
        <color theme="1"/>
        <rFont val="宋体"/>
        <charset val="134"/>
        <scheme val="minor"/>
      </rPr>
      <t>N</t>
    </r>
    <r>
      <rPr>
        <sz val="10"/>
        <color theme="1"/>
        <rFont val="宋体"/>
        <charset val="134"/>
        <scheme val="minor"/>
      </rPr>
      <t>*[σ</t>
    </r>
    <r>
      <rPr>
        <vertAlign val="subscript"/>
        <sz val="14"/>
        <color theme="1"/>
        <rFont val="宋体"/>
        <charset val="134"/>
        <scheme val="minor"/>
      </rPr>
      <t>H</t>
    </r>
    <r>
      <rPr>
        <sz val="10"/>
        <color theme="1"/>
        <rFont val="宋体"/>
        <charset val="134"/>
        <scheme val="minor"/>
      </rPr>
      <t>]'</t>
    </r>
  </si>
  <si>
    <t>Z2</t>
  </si>
  <si>
    <t>29~31</t>
  </si>
  <si>
    <t>29~61</t>
  </si>
  <si>
    <t>结论</t>
  </si>
  <si>
    <t>a≥</t>
  </si>
  <si>
    <t>η（根据Z1估值）</t>
  </si>
  <si>
    <t>验算d1/a</t>
  </si>
  <si>
    <t>圆整中心距a(mm)</t>
  </si>
  <si>
    <t>开式传动Z1=1、2；η=0.6~0.7</t>
  </si>
  <si>
    <t>查询d1(mm)</t>
  </si>
  <si>
    <t>根据a与Z1查表7</t>
  </si>
  <si>
    <t>d1/a</t>
  </si>
  <si>
    <r>
      <rPr>
        <sz val="11"/>
        <color theme="1"/>
        <rFont val="宋体"/>
        <charset val="134"/>
        <scheme val="minor"/>
      </rPr>
      <t>表5 灰铸铁或铝铁青铜的许用接触应力[σ</t>
    </r>
    <r>
      <rPr>
        <vertAlign val="subscript"/>
        <sz val="14"/>
        <color theme="1"/>
        <rFont val="宋体"/>
        <charset val="134"/>
        <scheme val="minor"/>
      </rPr>
      <t>H</t>
    </r>
    <r>
      <rPr>
        <sz val="11"/>
        <color theme="1"/>
        <rFont val="宋体"/>
        <charset val="134"/>
        <scheme val="minor"/>
      </rPr>
      <t>]，与应力循环次数无关，相当于K</t>
    </r>
    <r>
      <rPr>
        <vertAlign val="subscript"/>
        <sz val="14"/>
        <color theme="1"/>
        <rFont val="宋体"/>
        <charset val="134"/>
        <scheme val="minor"/>
      </rPr>
      <t>HN</t>
    </r>
    <r>
      <rPr>
        <sz val="11"/>
        <color theme="1"/>
        <rFont val="宋体"/>
        <charset val="134"/>
        <scheme val="minor"/>
      </rPr>
      <t>=1</t>
    </r>
  </si>
  <si>
    <r>
      <rPr>
        <sz val="11"/>
        <color theme="1"/>
        <rFont val="宋体"/>
        <charset val="134"/>
        <scheme val="minor"/>
      </rPr>
      <t>滑动速度v</t>
    </r>
    <r>
      <rPr>
        <vertAlign val="subscript"/>
        <sz val="14"/>
        <color theme="1"/>
        <rFont val="宋体"/>
        <charset val="134"/>
        <scheme val="minor"/>
      </rPr>
      <t>s</t>
    </r>
    <r>
      <rPr>
        <sz val="11"/>
        <color theme="1"/>
        <rFont val="宋体"/>
        <charset val="134"/>
        <scheme val="minor"/>
      </rPr>
      <t>（m/s）</t>
    </r>
  </si>
  <si>
    <t>参数选取</t>
  </si>
  <si>
    <t>圆整后实际Z1</t>
  </si>
  <si>
    <t>蜗杆</t>
  </si>
  <si>
    <t>蜗轮σb≥300MPa</t>
  </si>
  <si>
    <t>＜0.25</t>
  </si>
  <si>
    <t>圆整后实际Z2</t>
  </si>
  <si>
    <r>
      <rPr>
        <sz val="11"/>
        <color theme="1"/>
        <rFont val="Tahoma"/>
        <charset val="134"/>
      </rPr>
      <t>20/20Cr</t>
    </r>
    <r>
      <rPr>
        <sz val="11"/>
        <color theme="1"/>
        <rFont val="宋体"/>
        <charset val="134"/>
      </rPr>
      <t>渗碳</t>
    </r>
    <r>
      <rPr>
        <sz val="11"/>
        <color theme="1"/>
        <rFont val="Tahoma"/>
        <charset val="134"/>
      </rPr>
      <t>/</t>
    </r>
    <r>
      <rPr>
        <sz val="11"/>
        <color theme="1"/>
        <rFont val="宋体"/>
        <charset val="134"/>
      </rPr>
      <t xml:space="preserve">淬火
</t>
    </r>
    <r>
      <rPr>
        <sz val="11"/>
        <color theme="1"/>
        <rFont val="Tahoma"/>
        <charset val="134"/>
      </rPr>
      <t>45</t>
    </r>
    <r>
      <rPr>
        <sz val="11"/>
        <color theme="1"/>
        <rFont val="宋体"/>
        <charset val="134"/>
      </rPr>
      <t>钢淬火
表面硬度</t>
    </r>
    <r>
      <rPr>
        <sz val="11"/>
        <color theme="1"/>
        <rFont val="Tahoma"/>
        <charset val="134"/>
      </rPr>
      <t>&gt;45HRC</t>
    </r>
  </si>
  <si>
    <t>HT150</t>
  </si>
  <si>
    <t>—</t>
  </si>
  <si>
    <t>圆整后实际u</t>
  </si>
  <si>
    <t>若误差＞0.05,则将u带回C10重算</t>
  </si>
  <si>
    <t>HT200</t>
  </si>
  <si>
    <t>传动比误差Δu</t>
  </si>
  <si>
    <t>锰铅黄铜</t>
  </si>
  <si>
    <t>蜗杆未淬火时
[σH]需降低20</t>
  </si>
  <si>
    <t>模数m(mm)</t>
  </si>
  <si>
    <t>铸铝铁青铜</t>
  </si>
  <si>
    <t>直径系数q</t>
  </si>
  <si>
    <r>
      <rPr>
        <sz val="11"/>
        <color theme="1"/>
        <rFont val="Tahoma"/>
        <charset val="134"/>
      </rPr>
      <t>45</t>
    </r>
    <r>
      <rPr>
        <sz val="11"/>
        <color theme="1"/>
        <rFont val="宋体"/>
        <charset val="134"/>
      </rPr>
      <t>或</t>
    </r>
    <r>
      <rPr>
        <sz val="11"/>
        <color theme="1"/>
        <rFont val="Tahoma"/>
        <charset val="134"/>
      </rPr>
      <t>Q275</t>
    </r>
  </si>
  <si>
    <t>蜗杆分度圆d1(mm)</t>
  </si>
  <si>
    <t>d1=mq</t>
  </si>
  <si>
    <t>蜗轮分度圆d2(mm)</t>
  </si>
  <si>
    <t>d2=mZ2</t>
  </si>
  <si>
    <t>导程角γ(°)</t>
  </si>
  <si>
    <r>
      <rPr>
        <sz val="11"/>
        <color theme="1"/>
        <rFont val="宋体"/>
        <charset val="134"/>
      </rPr>
      <t>表</t>
    </r>
    <r>
      <rPr>
        <sz val="11"/>
        <color theme="1"/>
        <rFont val="Tahoma"/>
        <charset val="134"/>
      </rPr>
      <t xml:space="preserve">6 </t>
    </r>
    <r>
      <rPr>
        <sz val="11"/>
        <color theme="1"/>
        <rFont val="宋体"/>
        <charset val="134"/>
      </rPr>
      <t>锡青铜蜗轮的基本许用接触应力</t>
    </r>
    <r>
      <rPr>
        <sz val="11"/>
        <color theme="1"/>
        <rFont val="Tahoma"/>
        <charset val="134"/>
      </rPr>
      <t>[</t>
    </r>
    <r>
      <rPr>
        <sz val="11"/>
        <color theme="1"/>
        <rFont val="宋体"/>
        <charset val="134"/>
      </rPr>
      <t>σ</t>
    </r>
    <r>
      <rPr>
        <vertAlign val="subscript"/>
        <sz val="14"/>
        <color theme="1"/>
        <rFont val="Tahoma"/>
        <charset val="134"/>
      </rPr>
      <t>H</t>
    </r>
    <r>
      <rPr>
        <sz val="11"/>
        <color theme="1"/>
        <rFont val="Tahoma"/>
        <charset val="134"/>
      </rPr>
      <t>]’ N=10</t>
    </r>
    <r>
      <rPr>
        <vertAlign val="superscript"/>
        <sz val="12"/>
        <color theme="1"/>
        <rFont val="Tahoma"/>
        <charset val="134"/>
      </rPr>
      <t>7</t>
    </r>
    <r>
      <rPr>
        <sz val="11"/>
        <color theme="1"/>
        <rFont val="宋体"/>
        <charset val="134"/>
      </rPr>
      <t>时</t>
    </r>
  </si>
  <si>
    <r>
      <rPr>
        <sz val="11"/>
        <color theme="1"/>
        <rFont val="宋体"/>
        <charset val="134"/>
        <scheme val="minor"/>
      </rPr>
      <t>变位系数X</t>
    </r>
    <r>
      <rPr>
        <vertAlign val="subscript"/>
        <sz val="14"/>
        <color theme="1"/>
        <rFont val="宋体"/>
        <charset val="134"/>
        <scheme val="minor"/>
      </rPr>
      <t>2</t>
    </r>
  </si>
  <si>
    <t>蜗轮材料
σb＜300MPa</t>
  </si>
  <si>
    <t>铸造方法</t>
  </si>
  <si>
    <t>蜗杆螺旋面硬度</t>
  </si>
  <si>
    <r>
      <rPr>
        <sz val="11"/>
        <color theme="1"/>
        <rFont val="宋体"/>
        <charset val="134"/>
        <scheme val="minor"/>
      </rPr>
      <t>注：K</t>
    </r>
    <r>
      <rPr>
        <vertAlign val="subscript"/>
        <sz val="14"/>
        <color theme="1"/>
        <rFont val="宋体"/>
        <charset val="134"/>
        <scheme val="minor"/>
      </rPr>
      <t>HN</t>
    </r>
    <r>
      <rPr>
        <sz val="11"/>
        <color theme="1"/>
        <rFont val="宋体"/>
        <charset val="134"/>
        <scheme val="minor"/>
      </rPr>
      <t>=(10</t>
    </r>
    <r>
      <rPr>
        <vertAlign val="superscript"/>
        <sz val="12"/>
        <color theme="1"/>
        <rFont val="宋体"/>
        <charset val="134"/>
        <scheme val="minor"/>
      </rPr>
      <t>7</t>
    </r>
    <r>
      <rPr>
        <sz val="11"/>
        <color theme="1"/>
        <rFont val="宋体"/>
        <charset val="134"/>
        <scheme val="minor"/>
      </rPr>
      <t>/N)</t>
    </r>
    <r>
      <rPr>
        <vertAlign val="superscript"/>
        <sz val="12"/>
        <color theme="1"/>
        <rFont val="宋体"/>
        <charset val="134"/>
        <scheme val="minor"/>
      </rPr>
      <t>1/8</t>
    </r>
    <r>
      <rPr>
        <sz val="11"/>
        <color theme="1"/>
        <rFont val="宋体"/>
        <charset val="134"/>
        <scheme val="minor"/>
      </rPr>
      <t xml:space="preserve">
当N≠10</t>
    </r>
    <r>
      <rPr>
        <vertAlign val="superscript"/>
        <sz val="12"/>
        <color theme="1"/>
        <rFont val="宋体"/>
        <charset val="134"/>
        <scheme val="minor"/>
      </rPr>
      <t>7</t>
    </r>
    <r>
      <rPr>
        <sz val="11"/>
        <color theme="1"/>
        <rFont val="宋体"/>
        <charset val="134"/>
        <scheme val="minor"/>
      </rPr>
      <t xml:space="preserve"> 时，
当N＜2.6x10</t>
    </r>
    <r>
      <rPr>
        <vertAlign val="superscript"/>
        <sz val="12"/>
        <color theme="1"/>
        <rFont val="宋体"/>
        <charset val="134"/>
        <scheme val="minor"/>
      </rPr>
      <t>5</t>
    </r>
    <r>
      <rPr>
        <sz val="11"/>
        <color theme="1"/>
        <rFont val="宋体"/>
        <charset val="134"/>
        <scheme val="minor"/>
      </rPr>
      <t>时，取N=2.6x10</t>
    </r>
    <r>
      <rPr>
        <vertAlign val="superscript"/>
        <sz val="12"/>
        <color theme="1"/>
        <rFont val="宋体"/>
        <charset val="134"/>
        <scheme val="minor"/>
      </rPr>
      <t>5</t>
    </r>
    <r>
      <rPr>
        <sz val="11"/>
        <color theme="1"/>
        <rFont val="宋体"/>
        <charset val="134"/>
        <scheme val="minor"/>
      </rPr>
      <t>；
当N＞25x10</t>
    </r>
    <r>
      <rPr>
        <vertAlign val="superscript"/>
        <sz val="12"/>
        <color theme="1"/>
        <rFont val="宋体"/>
        <charset val="134"/>
        <scheme val="minor"/>
      </rPr>
      <t>7</t>
    </r>
    <r>
      <rPr>
        <sz val="11"/>
        <color theme="1"/>
        <rFont val="宋体"/>
        <charset val="134"/>
        <scheme val="minor"/>
      </rPr>
      <t>时，取N＝25x10</t>
    </r>
    <r>
      <rPr>
        <vertAlign val="superscript"/>
        <sz val="12"/>
        <color theme="1"/>
        <rFont val="宋体"/>
        <charset val="134"/>
        <scheme val="minor"/>
      </rPr>
      <t>7</t>
    </r>
  </si>
  <si>
    <r>
      <rPr>
        <sz val="11"/>
        <color theme="1"/>
        <rFont val="宋体"/>
        <charset val="134"/>
        <scheme val="minor"/>
      </rPr>
      <t>m</t>
    </r>
    <r>
      <rPr>
        <vertAlign val="superscript"/>
        <sz val="12"/>
        <color theme="1"/>
        <rFont val="宋体"/>
        <charset val="134"/>
        <scheme val="minor"/>
      </rPr>
      <t>2</t>
    </r>
    <r>
      <rPr>
        <sz val="11"/>
        <color theme="1"/>
        <rFont val="宋体"/>
        <charset val="134"/>
        <scheme val="minor"/>
      </rPr>
      <t>d</t>
    </r>
    <r>
      <rPr>
        <vertAlign val="subscript"/>
        <sz val="14"/>
        <color theme="1"/>
        <rFont val="宋体"/>
        <charset val="134"/>
        <scheme val="minor"/>
      </rPr>
      <t>1</t>
    </r>
    <r>
      <rPr>
        <sz val="14"/>
        <color theme="1"/>
        <rFont val="宋体"/>
        <charset val="134"/>
        <scheme val="minor"/>
      </rPr>
      <t>(mm</t>
    </r>
    <r>
      <rPr>
        <vertAlign val="superscript"/>
        <sz val="12"/>
        <color theme="1"/>
        <rFont val="宋体"/>
        <charset val="134"/>
        <scheme val="minor"/>
      </rPr>
      <t>3</t>
    </r>
    <r>
      <rPr>
        <sz val="14"/>
        <color theme="1"/>
        <rFont val="宋体"/>
        <charset val="134"/>
        <scheme val="minor"/>
      </rPr>
      <t>)</t>
    </r>
  </si>
  <si>
    <t>≤45HRC</t>
  </si>
  <si>
    <t>＞45HRC</t>
  </si>
  <si>
    <t>验算效率</t>
  </si>
  <si>
    <t>滑动速度Vs(m/s)</t>
  </si>
  <si>
    <t>Vs=πd1n1/60000cosγ</t>
  </si>
  <si>
    <t>铸锡磷青铜
ZCuSn10P1</t>
  </si>
  <si>
    <t>砂型铸造</t>
  </si>
  <si>
    <t>当量摩擦角φv</t>
  </si>
  <si>
    <t>atan(fv)表8</t>
  </si>
  <si>
    <t>金属模铸造</t>
  </si>
  <si>
    <t>传动效率η</t>
  </si>
  <si>
    <t>0.95tanγ/tan(γ+φv)</t>
  </si>
  <si>
    <t>铸锡锌铅青铜
ZCuSn5Pb5Zn5</t>
  </si>
  <si>
    <t>蜗轮按齿根弯曲疲劳强度校核</t>
  </si>
  <si>
    <t>表7 蜗杆蜗轮参数匹配</t>
  </si>
  <si>
    <t>模数m（mm）</t>
  </si>
  <si>
    <t>中心距a（mm）</t>
  </si>
  <si>
    <t>蜗轮齿数Z2</t>
  </si>
  <si>
    <t>蜗轮变位X2</t>
  </si>
  <si>
    <t>分度圆直径d1</t>
  </si>
  <si>
    <t>m2d1</t>
  </si>
  <si>
    <t>蜗杆头数Z1</t>
  </si>
  <si>
    <t>导程角γ</t>
  </si>
  <si>
    <t>导程角换算°</t>
  </si>
  <si>
    <r>
      <rPr>
        <sz val="11"/>
        <color theme="1"/>
        <rFont val="宋体"/>
        <charset val="134"/>
        <scheme val="minor"/>
      </rPr>
      <t>螺旋角影响系数Y</t>
    </r>
    <r>
      <rPr>
        <vertAlign val="subscript"/>
        <sz val="14"/>
        <color theme="1"/>
        <rFont val="宋体"/>
        <charset val="134"/>
        <scheme val="minor"/>
      </rPr>
      <t>β</t>
    </r>
  </si>
  <si>
    <r>
      <rPr>
        <sz val="11"/>
        <color theme="1"/>
        <rFont val="宋体"/>
        <charset val="134"/>
        <scheme val="minor"/>
      </rPr>
      <t>Y</t>
    </r>
    <r>
      <rPr>
        <vertAlign val="subscript"/>
        <sz val="14"/>
        <color theme="1"/>
        <rFont val="宋体"/>
        <charset val="134"/>
        <scheme val="minor"/>
      </rPr>
      <t>β</t>
    </r>
    <r>
      <rPr>
        <sz val="11"/>
        <color theme="1"/>
        <rFont val="宋体"/>
        <charset val="134"/>
        <scheme val="minor"/>
      </rPr>
      <t>=1-γ/140°</t>
    </r>
  </si>
  <si>
    <t>3°10′47″</t>
  </si>
  <si>
    <t>蜗轮当量齿数Zv2</t>
  </si>
  <si>
    <r>
      <rPr>
        <sz val="10"/>
        <color theme="1"/>
        <rFont val="宋体"/>
        <charset val="134"/>
        <scheme val="minor"/>
      </rPr>
      <t>Z</t>
    </r>
    <r>
      <rPr>
        <vertAlign val="subscript"/>
        <sz val="14"/>
        <color theme="1"/>
        <rFont val="宋体"/>
        <charset val="134"/>
        <scheme val="minor"/>
      </rPr>
      <t>v2</t>
    </r>
    <r>
      <rPr>
        <sz val="10"/>
        <color theme="1"/>
        <rFont val="宋体"/>
        <charset val="134"/>
        <scheme val="minor"/>
      </rPr>
      <t>=Z</t>
    </r>
    <r>
      <rPr>
        <vertAlign val="subscript"/>
        <sz val="14"/>
        <color theme="1"/>
        <rFont val="宋体"/>
        <charset val="134"/>
        <scheme val="minor"/>
      </rPr>
      <t>2</t>
    </r>
    <r>
      <rPr>
        <sz val="10"/>
        <color theme="1"/>
        <rFont val="宋体"/>
        <charset val="134"/>
        <scheme val="minor"/>
      </rPr>
      <t>/cos</t>
    </r>
    <r>
      <rPr>
        <vertAlign val="superscript"/>
        <sz val="12"/>
        <color theme="1"/>
        <rFont val="宋体"/>
        <charset val="134"/>
        <scheme val="minor"/>
      </rPr>
      <t>3</t>
    </r>
    <r>
      <rPr>
        <sz val="10"/>
        <color theme="1"/>
        <rFont val="宋体"/>
        <charset val="134"/>
        <scheme val="minor"/>
      </rPr>
      <t>γ</t>
    </r>
  </si>
  <si>
    <r>
      <rPr>
        <sz val="11"/>
        <color theme="1"/>
        <rFont val="宋体"/>
        <charset val="134"/>
        <scheme val="minor"/>
      </rPr>
      <t>齿形系数Y</t>
    </r>
    <r>
      <rPr>
        <vertAlign val="subscript"/>
        <sz val="14"/>
        <color theme="1"/>
        <rFont val="宋体"/>
        <charset val="134"/>
        <scheme val="minor"/>
      </rPr>
      <t>Fa2</t>
    </r>
  </si>
  <si>
    <t>-0.500</t>
  </si>
  <si>
    <t>3°34′35″</t>
  </si>
  <si>
    <r>
      <rPr>
        <sz val="11"/>
        <color theme="1"/>
        <rFont val="宋体"/>
        <charset val="134"/>
        <scheme val="minor"/>
      </rPr>
      <t>寿命系数K</t>
    </r>
    <r>
      <rPr>
        <vertAlign val="subscript"/>
        <sz val="14"/>
        <color theme="1"/>
        <rFont val="宋体"/>
        <charset val="134"/>
        <scheme val="minor"/>
      </rPr>
      <t>FN</t>
    </r>
  </si>
  <si>
    <r>
      <rPr>
        <sz val="11"/>
        <color theme="1"/>
        <rFont val="宋体"/>
        <charset val="134"/>
        <scheme val="minor"/>
      </rPr>
      <t>（10</t>
    </r>
    <r>
      <rPr>
        <vertAlign val="superscript"/>
        <sz val="12"/>
        <color theme="1"/>
        <rFont val="宋体"/>
        <charset val="134"/>
        <scheme val="minor"/>
      </rPr>
      <t>6</t>
    </r>
    <r>
      <rPr>
        <sz val="11"/>
        <color theme="1"/>
        <rFont val="宋体"/>
        <charset val="134"/>
        <scheme val="minor"/>
      </rPr>
      <t>/N）</t>
    </r>
    <r>
      <rPr>
        <vertAlign val="superscript"/>
        <sz val="12"/>
        <color theme="1"/>
        <rFont val="宋体"/>
        <charset val="134"/>
        <scheme val="minor"/>
      </rPr>
      <t>1/9</t>
    </r>
  </si>
  <si>
    <t>+0.040</t>
  </si>
  <si>
    <t>3°11′38″</t>
  </si>
  <si>
    <r>
      <rPr>
        <sz val="11"/>
        <color theme="1"/>
        <rFont val="宋体"/>
        <charset val="134"/>
        <scheme val="minor"/>
      </rPr>
      <t>基本许用弯曲应力[σ</t>
    </r>
    <r>
      <rPr>
        <vertAlign val="subscript"/>
        <sz val="14"/>
        <color theme="1"/>
        <rFont val="宋体"/>
        <charset val="134"/>
        <scheme val="minor"/>
      </rPr>
      <t>F</t>
    </r>
    <r>
      <rPr>
        <sz val="11"/>
        <color theme="1"/>
        <rFont val="宋体"/>
        <charset val="134"/>
        <scheme val="minor"/>
      </rPr>
      <t>]'</t>
    </r>
  </si>
  <si>
    <t>+0.440</t>
  </si>
  <si>
    <r>
      <rPr>
        <sz val="11"/>
        <color theme="1"/>
        <rFont val="宋体"/>
        <charset val="134"/>
        <scheme val="minor"/>
      </rPr>
      <t>许用弯曲应力[σ</t>
    </r>
    <r>
      <rPr>
        <vertAlign val="subscript"/>
        <sz val="14"/>
        <color theme="1"/>
        <rFont val="宋体"/>
        <charset val="134"/>
        <scheme val="minor"/>
      </rPr>
      <t>F</t>
    </r>
    <r>
      <rPr>
        <sz val="11"/>
        <color theme="1"/>
        <rFont val="宋体"/>
        <charset val="134"/>
        <scheme val="minor"/>
      </rPr>
      <t>]</t>
    </r>
  </si>
  <si>
    <r>
      <rPr>
        <sz val="11"/>
        <color theme="1"/>
        <rFont val="宋体"/>
        <charset val="134"/>
        <scheme val="minor"/>
      </rPr>
      <t>[σ</t>
    </r>
    <r>
      <rPr>
        <vertAlign val="subscript"/>
        <sz val="14"/>
        <color theme="1"/>
        <rFont val="宋体"/>
        <charset val="134"/>
        <scheme val="minor"/>
      </rPr>
      <t>F</t>
    </r>
    <r>
      <rPr>
        <sz val="11"/>
        <color theme="1"/>
        <rFont val="宋体"/>
        <charset val="134"/>
        <scheme val="minor"/>
      </rPr>
      <t>]=K</t>
    </r>
    <r>
      <rPr>
        <vertAlign val="subscript"/>
        <sz val="14"/>
        <color theme="1"/>
        <rFont val="宋体"/>
        <charset val="134"/>
        <scheme val="minor"/>
      </rPr>
      <t>HN</t>
    </r>
    <r>
      <rPr>
        <sz val="11"/>
        <color theme="1"/>
        <rFont val="宋体"/>
        <charset val="134"/>
        <scheme val="minor"/>
      </rPr>
      <t>*[σ</t>
    </r>
    <r>
      <rPr>
        <vertAlign val="subscript"/>
        <sz val="14"/>
        <color theme="1"/>
        <rFont val="宋体"/>
        <charset val="134"/>
        <scheme val="minor"/>
      </rPr>
      <t>F</t>
    </r>
    <r>
      <rPr>
        <sz val="11"/>
        <color theme="1"/>
        <rFont val="宋体"/>
        <charset val="134"/>
        <scheme val="minor"/>
      </rPr>
      <t>]'</t>
    </r>
  </si>
  <si>
    <t>4°34′26″</t>
  </si>
  <si>
    <r>
      <rPr>
        <sz val="11"/>
        <color theme="1"/>
        <rFont val="宋体"/>
        <charset val="134"/>
        <scheme val="minor"/>
      </rPr>
      <t>蜗轮齿根弯曲应力σ</t>
    </r>
    <r>
      <rPr>
        <vertAlign val="subscript"/>
        <sz val="14"/>
        <color theme="1"/>
        <rFont val="宋体"/>
        <charset val="134"/>
        <scheme val="minor"/>
      </rPr>
      <t>F</t>
    </r>
  </si>
  <si>
    <t>9°05′25″</t>
  </si>
  <si>
    <t>17°44′41″</t>
  </si>
  <si>
    <t>+0.125</t>
  </si>
  <si>
    <t>3°16′14″</t>
  </si>
  <si>
    <t>蜗杆刚度校核</t>
  </si>
  <si>
    <t>+0.250</t>
  </si>
  <si>
    <t>5°06′08″</t>
  </si>
  <si>
    <t>蜗杆所受圆周力Ft1(N.mm)</t>
  </si>
  <si>
    <t>2T1/d1</t>
  </si>
  <si>
    <t>-0.100</t>
  </si>
  <si>
    <t>10°07′29″</t>
  </si>
  <si>
    <t>蜗杆所受径向力Fr1=Fr2(N.mm)</t>
  </si>
  <si>
    <t>2T2tanα/d2</t>
  </si>
  <si>
    <t>(39)</t>
  </si>
  <si>
    <t>(+0.100)</t>
  </si>
  <si>
    <t>19°39′14″</t>
  </si>
  <si>
    <t>蜗杆支撑跨距L'（mm）</t>
  </si>
  <si>
    <t>左侧值为0.9*d2</t>
  </si>
  <si>
    <t>(51)</t>
  </si>
  <si>
    <t>(+0.400)</t>
  </si>
  <si>
    <t>28°10′43″</t>
  </si>
  <si>
    <r>
      <rPr>
        <sz val="11"/>
        <color theme="1"/>
        <rFont val="宋体"/>
        <charset val="134"/>
        <scheme val="minor"/>
      </rPr>
      <t>蜗杆齿根圆直径d</t>
    </r>
    <r>
      <rPr>
        <vertAlign val="subscript"/>
        <sz val="14"/>
        <color theme="1"/>
        <rFont val="宋体"/>
        <charset val="134"/>
        <scheme val="minor"/>
      </rPr>
      <t>f1</t>
    </r>
    <r>
      <rPr>
        <sz val="11"/>
        <color theme="1"/>
        <rFont val="宋体"/>
        <charset val="134"/>
        <scheme val="minor"/>
      </rPr>
      <t>（mm）</t>
    </r>
  </si>
  <si>
    <t>d1-2*m（ha+c）</t>
  </si>
  <si>
    <t>62</t>
  </si>
  <si>
    <t>3°13′28″</t>
  </si>
  <si>
    <t>弹性模量E（MPa）</t>
  </si>
  <si>
    <t>均取206GPa</t>
  </si>
  <si>
    <t>82</t>
  </si>
  <si>
    <r>
      <rPr>
        <sz val="11"/>
        <color theme="1"/>
        <rFont val="宋体"/>
        <charset val="134"/>
        <scheme val="minor"/>
      </rPr>
      <t>最小截面惯性矩I(mm</t>
    </r>
    <r>
      <rPr>
        <vertAlign val="superscript"/>
        <sz val="12"/>
        <color theme="1"/>
        <rFont val="宋体"/>
        <charset val="134"/>
        <scheme val="minor"/>
      </rPr>
      <t>4</t>
    </r>
    <r>
      <rPr>
        <sz val="11"/>
        <color theme="1"/>
        <rFont val="宋体"/>
        <charset val="134"/>
        <scheme val="minor"/>
      </rPr>
      <t>)</t>
    </r>
  </si>
  <si>
    <r>
      <rPr>
        <sz val="11"/>
        <color theme="1"/>
        <rFont val="宋体"/>
        <charset val="134"/>
        <scheme val="minor"/>
      </rPr>
      <t>I=πd</t>
    </r>
    <r>
      <rPr>
        <vertAlign val="subscript"/>
        <sz val="12"/>
        <color theme="1"/>
        <rFont val="宋体"/>
        <charset val="134"/>
        <scheme val="minor"/>
      </rPr>
      <t>f1</t>
    </r>
    <r>
      <rPr>
        <vertAlign val="superscript"/>
        <sz val="12"/>
        <color theme="1"/>
        <rFont val="宋体"/>
        <charset val="134"/>
        <scheme val="minor"/>
      </rPr>
      <t>4</t>
    </r>
    <r>
      <rPr>
        <sz val="11"/>
        <color theme="1"/>
        <rFont val="宋体"/>
        <charset val="134"/>
        <scheme val="minor"/>
      </rPr>
      <t>/64</t>
    </r>
  </si>
  <si>
    <t>最大许用挠度[y](mm)</t>
  </si>
  <si>
    <t>[y]=d1/1000</t>
  </si>
  <si>
    <t>29</t>
  </si>
  <si>
    <t>最大挠度y(mm)</t>
  </si>
  <si>
    <t>(53)</t>
  </si>
  <si>
    <t>(-0.100)</t>
  </si>
  <si>
    <t>0</t>
  </si>
  <si>
    <t>热平衡核算（闭式蜗轮蜗杆）</t>
  </si>
  <si>
    <t>5°04′15″</t>
  </si>
  <si>
    <t>箱体表面传热系数αd=8.15~17.45</t>
  </si>
  <si>
    <t>周围空气流通较好取大值</t>
  </si>
  <si>
    <t>-0.1349</t>
  </si>
  <si>
    <t>10°03′48″</t>
  </si>
  <si>
    <t>润滑油工作温度t0(°)</t>
  </si>
  <si>
    <t>≤80(工作温度60~70)</t>
  </si>
  <si>
    <t>(+0.2619)</t>
  </si>
  <si>
    <t>19°32′29″</t>
  </si>
  <si>
    <t>空气温度t1(°)</t>
  </si>
  <si>
    <t>常温为20°</t>
  </si>
  <si>
    <t>(-0.3889)</t>
  </si>
  <si>
    <t>28°01′50″</t>
  </si>
  <si>
    <t>所需最小散热面积S(m2)</t>
  </si>
  <si>
    <t>-0.2063</t>
  </si>
  <si>
    <t>3°13′10″</t>
  </si>
  <si>
    <t>实际箱体扇热面积S0</t>
  </si>
  <si>
    <t>散热片按面积的0.5算</t>
  </si>
  <si>
    <t>5°42′38″</t>
  </si>
  <si>
    <r>
      <rPr>
        <sz val="11"/>
        <color theme="1"/>
        <rFont val="宋体"/>
        <charset val="134"/>
        <scheme val="minor"/>
      </rPr>
      <t>所需最小散热面积S(m</t>
    </r>
    <r>
      <rPr>
        <vertAlign val="superscript"/>
        <sz val="12"/>
        <color theme="1"/>
        <rFont val="宋体"/>
        <charset val="134"/>
        <scheme val="minor"/>
      </rPr>
      <t>2</t>
    </r>
    <r>
      <rPr>
        <sz val="11"/>
        <color theme="1"/>
        <rFont val="宋体"/>
        <charset val="134"/>
        <scheme val="minor"/>
      </rPr>
      <t>)</t>
    </r>
  </si>
  <si>
    <t>31</t>
  </si>
  <si>
    <t>-0.050</t>
  </si>
  <si>
    <t>11°18′36″</t>
  </si>
  <si>
    <t>若散热面积不足需采取以下措施</t>
  </si>
  <si>
    <t>(41)</t>
  </si>
  <si>
    <t>（-0.050）</t>
  </si>
  <si>
    <t>21°48′05″</t>
  </si>
  <si>
    <t>如果超过温差允许值，可采用下述冷却措施：
⑴ 增加散热面积      合理设计箱体结构，铸出或焊上散热片。
⑵ 提高表面散热系数   在蜗杆轴上装置风扇或在箱体油池内装设蛇形冷却    水管或用循环油冷却。</t>
  </si>
  <si>
    <t>（51)</t>
  </si>
  <si>
    <t>（+0.750）</t>
  </si>
  <si>
    <t>30°57′50″</t>
  </si>
  <si>
    <t>(125)</t>
  </si>
  <si>
    <t xml:space="preserve">
(-0.500)</t>
  </si>
  <si>
    <t>(160)</t>
  </si>
  <si>
    <t>(+0.500)</t>
  </si>
  <si>
    <t>(180)</t>
  </si>
  <si>
    <t>(61)</t>
  </si>
  <si>
    <t>(-0.500)</t>
  </si>
  <si>
    <t>125</t>
  </si>
  <si>
    <t>-0.6587</t>
  </si>
  <si>
    <t>(-0.1032)</t>
  </si>
  <si>
    <t>(48)</t>
  </si>
  <si>
    <t>(-0.4286)</t>
  </si>
  <si>
    <t>(200)</t>
  </si>
  <si>
    <t>(+0.246)</t>
  </si>
  <si>
    <t xml:space="preserve">
    </t>
  </si>
  <si>
    <t>61</t>
  </si>
  <si>
    <t>+0.2937</t>
  </si>
  <si>
    <r>
      <rPr>
        <sz val="11"/>
        <color theme="1"/>
        <rFont val="宋体"/>
        <charset val="134"/>
        <scheme val="minor"/>
      </rPr>
      <t>表10 蜗轮的基本许用弯曲应力[σ</t>
    </r>
    <r>
      <rPr>
        <vertAlign val="subscript"/>
        <sz val="14"/>
        <color theme="1"/>
        <rFont val="宋体"/>
        <charset val="134"/>
        <scheme val="minor"/>
      </rPr>
      <t>F</t>
    </r>
    <r>
      <rPr>
        <sz val="11"/>
        <color theme="1"/>
        <rFont val="宋体"/>
        <charset val="134"/>
        <scheme val="minor"/>
      </rPr>
      <t>]’ N=10</t>
    </r>
    <r>
      <rPr>
        <vertAlign val="superscript"/>
        <sz val="12"/>
        <color theme="1"/>
        <rFont val="宋体"/>
        <charset val="134"/>
        <scheme val="minor"/>
      </rPr>
      <t>6</t>
    </r>
    <r>
      <rPr>
        <sz val="11"/>
        <color theme="1"/>
        <rFont val="宋体"/>
        <charset val="134"/>
        <scheme val="minor"/>
      </rPr>
      <t>时</t>
    </r>
  </si>
  <si>
    <t>160</t>
  </si>
  <si>
    <t>单侧工作</t>
  </si>
  <si>
    <t>双侧工作</t>
  </si>
  <si>
    <t>铸锡青铜
ZCuSn10P1</t>
  </si>
  <si>
    <t>(225)</t>
  </si>
  <si>
    <t>(47)</t>
  </si>
  <si>
    <t>(-0.375)</t>
  </si>
  <si>
    <t>(250)</t>
  </si>
  <si>
    <t>(52)</t>
  </si>
  <si>
    <t>(+0.250)</t>
  </si>
  <si>
    <t>铸锡锌铅青铜
ZCuSnSPB5Zn5</t>
  </si>
  <si>
    <t>注意：本表γ＜3.5°的蜗杆均为自锁蜗杆，括号内的参数不适用与Z1=6时。</t>
  </si>
  <si>
    <t xml:space="preserve">
</t>
  </si>
  <si>
    <t>铸铝铁青铜
ZCuAl10Fe3</t>
  </si>
  <si>
    <t>表8 Vs、fv、φv值</t>
  </si>
  <si>
    <t>无锡青铜</t>
  </si>
  <si>
    <t>HT150砂型铸造</t>
  </si>
  <si>
    <t>蜗杆齿面硬度</t>
  </si>
  <si>
    <t>≥45HRC</t>
  </si>
  <si>
    <t>其他</t>
  </si>
  <si>
    <t>HT200砂型铸造</t>
  </si>
  <si>
    <t>fv</t>
  </si>
  <si>
    <t>φv</t>
  </si>
  <si>
    <r>
      <rPr>
        <sz val="11"/>
        <color theme="1"/>
        <rFont val="宋体"/>
        <charset val="134"/>
      </rPr>
      <t>注：</t>
    </r>
    <r>
      <rPr>
        <sz val="11"/>
        <color theme="1"/>
        <rFont val="Tahoma"/>
        <charset val="134"/>
      </rPr>
      <t>FN=(106/N)1/9</t>
    </r>
    <r>
      <rPr>
        <sz val="11"/>
        <color theme="1"/>
        <rFont val="宋体"/>
        <charset val="134"/>
      </rPr>
      <t>，当</t>
    </r>
    <r>
      <rPr>
        <sz val="11"/>
        <color theme="1"/>
        <rFont val="Tahoma"/>
        <charset val="134"/>
      </rPr>
      <t>N</t>
    </r>
    <r>
      <rPr>
        <sz val="11"/>
        <color theme="1"/>
        <rFont val="宋体"/>
        <charset val="134"/>
      </rPr>
      <t>≠</t>
    </r>
    <r>
      <rPr>
        <sz val="11"/>
        <color theme="1"/>
        <rFont val="Tahoma"/>
        <charset val="134"/>
      </rPr>
      <t xml:space="preserve">106 </t>
    </r>
    <r>
      <rPr>
        <sz val="11"/>
        <color theme="1"/>
        <rFont val="宋体"/>
        <charset val="134"/>
      </rPr>
      <t xml:space="preserve">时，
</t>
    </r>
    <r>
      <rPr>
        <sz val="11"/>
        <color theme="1"/>
        <rFont val="Tahoma"/>
        <charset val="134"/>
      </rPr>
      <t xml:space="preserve">      </t>
    </r>
    <r>
      <rPr>
        <sz val="11"/>
        <color theme="1"/>
        <rFont val="宋体"/>
        <charset val="134"/>
      </rPr>
      <t>当</t>
    </r>
    <r>
      <rPr>
        <sz val="11"/>
        <color theme="1"/>
        <rFont val="Tahoma"/>
        <charset val="134"/>
      </rPr>
      <t>N</t>
    </r>
    <r>
      <rPr>
        <sz val="11"/>
        <color theme="1"/>
        <rFont val="宋体"/>
        <charset val="134"/>
      </rPr>
      <t>＜</t>
    </r>
    <r>
      <rPr>
        <sz val="11"/>
        <color theme="1"/>
        <rFont val="Tahoma"/>
        <charset val="134"/>
      </rPr>
      <t>105</t>
    </r>
    <r>
      <rPr>
        <sz val="11"/>
        <color theme="1"/>
        <rFont val="宋体"/>
        <charset val="134"/>
      </rPr>
      <t>时，取</t>
    </r>
    <r>
      <rPr>
        <sz val="11"/>
        <color theme="1"/>
        <rFont val="Tahoma"/>
        <charset val="134"/>
      </rPr>
      <t>N=105</t>
    </r>
    <r>
      <rPr>
        <sz val="11"/>
        <color theme="1"/>
        <rFont val="宋体"/>
        <charset val="134"/>
      </rPr>
      <t>；</t>
    </r>
    <r>
      <rPr>
        <sz val="11"/>
        <color theme="1"/>
        <rFont val="Tahoma"/>
        <charset val="134"/>
      </rPr>
      <t xml:space="preserve">         </t>
    </r>
    <r>
      <rPr>
        <sz val="11"/>
        <color theme="1"/>
        <rFont val="宋体"/>
        <charset val="134"/>
      </rPr>
      <t>当</t>
    </r>
    <r>
      <rPr>
        <sz val="11"/>
        <color theme="1"/>
        <rFont val="Tahoma"/>
        <charset val="134"/>
      </rPr>
      <t>N</t>
    </r>
    <r>
      <rPr>
        <sz val="11"/>
        <color theme="1"/>
        <rFont val="宋体"/>
        <charset val="134"/>
      </rPr>
      <t>＞</t>
    </r>
    <r>
      <rPr>
        <sz val="11"/>
        <color theme="1"/>
        <rFont val="Tahoma"/>
        <charset val="134"/>
      </rPr>
      <t>25x107</t>
    </r>
    <r>
      <rPr>
        <sz val="11"/>
        <color theme="1"/>
        <rFont val="宋体"/>
        <charset val="134"/>
      </rPr>
      <t>时</t>
    </r>
    <r>
      <rPr>
        <sz val="11"/>
        <color theme="1"/>
        <rFont val="Tahoma"/>
        <charset val="134"/>
      </rPr>
      <t>,</t>
    </r>
    <r>
      <rPr>
        <sz val="11"/>
        <color theme="1"/>
        <rFont val="宋体"/>
        <charset val="134"/>
      </rPr>
      <t>取</t>
    </r>
    <r>
      <rPr>
        <sz val="11"/>
        <color theme="1"/>
        <rFont val="Tahoma"/>
        <charset val="134"/>
      </rPr>
      <t>N</t>
    </r>
    <r>
      <rPr>
        <sz val="11"/>
        <color theme="1"/>
        <rFont val="宋体"/>
        <charset val="134"/>
      </rPr>
      <t>＝</t>
    </r>
    <r>
      <rPr>
        <sz val="11"/>
        <color theme="1"/>
        <rFont val="Tahoma"/>
        <charset val="134"/>
      </rPr>
      <t>25x107</t>
    </r>
  </si>
  <si>
    <r>
      <rPr>
        <sz val="11"/>
        <color theme="1"/>
        <rFont val="宋体"/>
        <charset val="134"/>
        <scheme val="minor"/>
      </rPr>
      <t>说明： 
    由于材料与结构原因，蜗杆螺旋齿部分强度总是高于蜗轮轮齿强度，所有失效经常发生在蜗轮上，</t>
    </r>
    <r>
      <rPr>
        <sz val="11"/>
        <color rgb="FFFF0000"/>
        <rFont val="宋体"/>
        <charset val="134"/>
        <scheme val="minor"/>
      </rPr>
      <t>一般只校核计算蜗轮</t>
    </r>
    <r>
      <rPr>
        <sz val="11"/>
        <color theme="1"/>
        <rFont val="宋体"/>
        <charset val="134"/>
        <scheme val="minor"/>
      </rPr>
      <t>。
    校核计算的一般顺序：按表</t>
    </r>
    <r>
      <rPr>
        <sz val="11"/>
        <color rgb="FFFF0000"/>
        <rFont val="宋体"/>
        <charset val="134"/>
        <scheme val="minor"/>
      </rPr>
      <t>预估传动效率η，预估d1/a</t>
    </r>
    <r>
      <rPr>
        <sz val="11"/>
        <color theme="1"/>
        <rFont val="宋体"/>
        <charset val="134"/>
        <scheme val="minor"/>
      </rPr>
      <t>，按齿面接触疲劳强度计算最小中心距——按参数匹配表选取参数——验证d1/a与η——若不合理则将计算值带回重算，直至d1/a与η验证合格——以齿根弯曲疲劳强度校核——校核蜗杆刚度——热平衡核算。
    1）开式蜗杆传动：失效多为齿面磨损和轮齿折断，以齿根弯曲疲劳强度作为主要设计基准。（实际也先按齿面接触疲劳强度计算——参数选取-——以齿根弯曲疲劳强度校核）
    2）闭式齿轮传动：失效多为齿面胶合或齿面点蚀，以齿面接触疲劳强度作为设计基准，按照齿根弯曲疲劳强度校核，还应做热平衡核算。
    此外，</t>
    </r>
    <r>
      <rPr>
        <sz val="11"/>
        <color rgb="FFFF0000"/>
        <rFont val="宋体"/>
        <charset val="134"/>
        <scheme val="minor"/>
      </rPr>
      <t>还应校核蜗杆刚度</t>
    </r>
    <r>
      <rPr>
        <sz val="11"/>
        <color theme="1"/>
        <rFont val="宋体"/>
        <charset val="134"/>
        <scheme val="minor"/>
      </rPr>
      <t>。</t>
    </r>
  </si>
  <si>
    <t xml:space="preserve">文档信息
编写：煜宸
参考：《机械设计——第八版》——蒲良贵、纪名刚
      《机械设计手册——第五版第三卷》——成大先
                                           2018.7.30
</t>
  </si>
  <si>
    <r>
      <rPr>
        <sz val="11"/>
        <color theme="1"/>
        <rFont val="宋体"/>
        <charset val="134"/>
        <scheme val="minor"/>
      </rPr>
      <t>表9 蜗轮齿形系数Y</t>
    </r>
    <r>
      <rPr>
        <vertAlign val="subscript"/>
        <sz val="14"/>
        <color theme="1"/>
        <rFont val="宋体"/>
        <charset val="134"/>
        <scheme val="minor"/>
      </rPr>
      <t>Fa2</t>
    </r>
  </si>
  <si>
    <t>附录1 常用蜗杆材料</t>
  </si>
  <si>
    <t>15Cr/20Cr</t>
  </si>
  <si>
    <t>40/45/40Cr</t>
  </si>
  <si>
    <t>40/45</t>
  </si>
  <si>
    <t>热处理</t>
  </si>
  <si>
    <t>渗碳淬火</t>
  </si>
  <si>
    <t>淬火</t>
  </si>
  <si>
    <t>调质</t>
  </si>
  <si>
    <t>硬度</t>
  </si>
  <si>
    <t>200~300HBS</t>
  </si>
  <si>
    <t>用途</t>
  </si>
  <si>
    <t>高速或重载</t>
  </si>
  <si>
    <t>不重要的低速中载</t>
  </si>
  <si>
    <t>氮化处理后55~62HRC</t>
  </si>
  <si>
    <t>附录1 常用蜗轮材料</t>
  </si>
  <si>
    <t>铸造锡青铜</t>
  </si>
  <si>
    <t>铸造铝青铜</t>
  </si>
  <si>
    <t>灰铸铁(HT150/200)</t>
  </si>
  <si>
    <t>耐磨性</t>
  </si>
  <si>
    <t>好</t>
  </si>
  <si>
    <t>一般</t>
  </si>
  <si>
    <t>差</t>
  </si>
  <si>
    <t>价格</t>
  </si>
  <si>
    <t>高</t>
  </si>
  <si>
    <t>中</t>
  </si>
  <si>
    <t>低</t>
  </si>
  <si>
    <t>实用滑动速度Vs</t>
  </si>
  <si>
    <t>≥3</t>
  </si>
  <si>
    <t>≤4</t>
  </si>
  <si>
    <t>≤2</t>
  </si>
  <si>
    <t>重要传动</t>
  </si>
  <si>
    <t>效率要求不高,特别是要求自锁时</t>
  </si>
  <si>
    <t>抗胶合能力</t>
  </si>
  <si>
    <t>强</t>
  </si>
  <si>
    <t>抗点蚀能力</t>
  </si>
  <si>
    <t>附录3 所用公式</t>
  </si>
  <si>
    <t>按齿面接触疲劳强度计算最小中心距</t>
  </si>
  <si>
    <t>按齿根弯曲疲劳强度核算弯曲应力</t>
  </si>
  <si>
    <t>效率计算</t>
  </si>
  <si>
    <t>散热面积计算</t>
  </si>
  <si>
    <t>螺栓螺钉强度计算</t>
  </si>
  <si>
    <t>拉力计算校核</t>
  </si>
  <si>
    <r>
      <rPr>
        <sz val="11"/>
        <color theme="1"/>
        <rFont val="宋体"/>
        <charset val="134"/>
      </rPr>
      <t>表</t>
    </r>
    <r>
      <rPr>
        <sz val="11"/>
        <color theme="1"/>
        <rFont val="Tahoma"/>
        <charset val="134"/>
      </rPr>
      <t xml:space="preserve">1  </t>
    </r>
    <r>
      <rPr>
        <sz val="11"/>
        <color theme="1"/>
        <rFont val="宋体"/>
        <charset val="134"/>
      </rPr>
      <t xml:space="preserve">螺栓截强度查询
</t>
    </r>
  </si>
  <si>
    <r>
      <rPr>
        <sz val="11"/>
        <color theme="1"/>
        <rFont val="宋体"/>
        <charset val="134"/>
      </rPr>
      <t>通常取</t>
    </r>
    <r>
      <rPr>
        <sz val="11"/>
        <color theme="1"/>
        <rFont val="Tahoma"/>
        <charset val="134"/>
      </rPr>
      <t>T</t>
    </r>
    <r>
      <rPr>
        <sz val="11"/>
        <color theme="1"/>
        <rFont val="宋体"/>
        <charset val="134"/>
      </rPr>
      <t>计算值的</t>
    </r>
    <r>
      <rPr>
        <sz val="11"/>
        <color theme="1"/>
        <rFont val="Tahoma"/>
        <charset val="134"/>
      </rPr>
      <t>0.8</t>
    </r>
    <r>
      <rPr>
        <sz val="11"/>
        <color theme="1"/>
        <rFont val="宋体"/>
        <charset val="134"/>
      </rPr>
      <t>倍左右作为实际应用的拧紧力矩值</t>
    </r>
    <r>
      <rPr>
        <sz val="11"/>
        <color theme="1"/>
        <rFont val="Tahoma"/>
        <charset val="134"/>
      </rPr>
      <t>.</t>
    </r>
  </si>
  <si>
    <t>公称直径</t>
  </si>
  <si>
    <t>强度等级</t>
  </si>
  <si>
    <t>牙型</t>
  </si>
  <si>
    <t>螺距(mm)</t>
  </si>
  <si>
    <t>小径(mm)</t>
  </si>
  <si>
    <t>截面(mm²)</t>
  </si>
  <si>
    <r>
      <rPr>
        <sz val="11"/>
        <color theme="1"/>
        <rFont val="宋体"/>
        <charset val="134"/>
      </rPr>
      <t>抗拉</t>
    </r>
    <r>
      <rPr>
        <sz val="11"/>
        <color theme="1"/>
        <rFont val="Tahoma"/>
        <charset val="134"/>
      </rPr>
      <t>Fb(kN)</t>
    </r>
  </si>
  <si>
    <r>
      <rPr>
        <sz val="11"/>
        <color theme="1"/>
        <rFont val="宋体"/>
        <charset val="134"/>
      </rPr>
      <t>屈服</t>
    </r>
    <r>
      <rPr>
        <sz val="11"/>
        <color theme="1"/>
        <rFont val="Tahoma"/>
        <charset val="134"/>
      </rPr>
      <t>Fs(kN)</t>
    </r>
  </si>
  <si>
    <r>
      <rPr>
        <sz val="11"/>
        <color theme="1"/>
        <rFont val="Tahoma"/>
        <charset val="134"/>
      </rPr>
      <t>预紧力</t>
    </r>
    <r>
      <rPr>
        <sz val="10"/>
        <color theme="1"/>
        <rFont val="Tahoma"/>
        <charset val="134"/>
      </rPr>
      <t>F(kN)</t>
    </r>
  </si>
  <si>
    <r>
      <rPr>
        <sz val="11"/>
        <color theme="1"/>
        <rFont val="宋体"/>
        <charset val="134"/>
      </rPr>
      <t>查附表</t>
    </r>
    <r>
      <rPr>
        <sz val="11"/>
        <color theme="1"/>
        <rFont val="Tahoma"/>
        <charset val="134"/>
      </rPr>
      <t>K</t>
    </r>
    <r>
      <rPr>
        <sz val="11"/>
        <color theme="1"/>
        <rFont val="宋体"/>
        <charset val="134"/>
      </rPr>
      <t>值输入下方</t>
    </r>
  </si>
  <si>
    <r>
      <rPr>
        <sz val="10"/>
        <color theme="1"/>
        <rFont val="宋体"/>
        <charset val="134"/>
      </rPr>
      <t>预紧</t>
    </r>
    <r>
      <rPr>
        <sz val="10"/>
        <color theme="1"/>
        <rFont val="Tahoma"/>
        <charset val="134"/>
      </rPr>
      <t>T(Nm)</t>
    </r>
  </si>
  <si>
    <t>0.8T(Nm)</t>
  </si>
  <si>
    <t>A</t>
  </si>
  <si>
    <r>
      <rPr>
        <sz val="11"/>
        <color theme="1"/>
        <rFont val="宋体"/>
        <charset val="134"/>
      </rPr>
      <t>负载最大受力</t>
    </r>
    <r>
      <rPr>
        <sz val="11"/>
        <color theme="1"/>
        <rFont val="Tahoma"/>
        <charset val="134"/>
      </rPr>
      <t>F(KN)</t>
    </r>
  </si>
  <si>
    <r>
      <rPr>
        <sz val="11"/>
        <color theme="1"/>
        <rFont val="宋体"/>
        <charset val="134"/>
      </rPr>
      <t>含重力</t>
    </r>
    <r>
      <rPr>
        <sz val="11"/>
        <color theme="1"/>
        <rFont val="Tahoma"/>
        <charset val="134"/>
      </rPr>
      <t>mg</t>
    </r>
    <r>
      <rPr>
        <sz val="11"/>
        <color theme="1"/>
        <rFont val="宋体"/>
        <charset val="134"/>
      </rPr>
      <t>等</t>
    </r>
  </si>
  <si>
    <t>粗牙</t>
  </si>
  <si>
    <t>B</t>
  </si>
  <si>
    <r>
      <rPr>
        <sz val="11"/>
        <color theme="1"/>
        <rFont val="宋体"/>
        <charset val="134"/>
      </rPr>
      <t>螺栓</t>
    </r>
    <r>
      <rPr>
        <sz val="11"/>
        <color theme="1"/>
        <rFont val="宋体"/>
        <charset val="134"/>
      </rPr>
      <t>直径与强度等级选择</t>
    </r>
  </si>
  <si>
    <r>
      <rPr>
        <b/>
        <sz val="11"/>
        <color rgb="FFFF0000"/>
        <rFont val="宋体"/>
        <charset val="134"/>
      </rPr>
      <t>表</t>
    </r>
    <r>
      <rPr>
        <b/>
        <sz val="11"/>
        <color rgb="FFFF0000"/>
        <rFont val="Tahoma"/>
        <charset val="134"/>
      </rPr>
      <t>1</t>
    </r>
    <r>
      <rPr>
        <b/>
        <sz val="11"/>
        <color rgb="FFFF0000"/>
        <rFont val="宋体"/>
        <charset val="134"/>
      </rPr>
      <t>对应项目选择下拉菜单</t>
    </r>
  </si>
  <si>
    <t>C</t>
  </si>
  <si>
    <r>
      <rPr>
        <sz val="11"/>
        <color theme="1"/>
        <rFont val="宋体"/>
        <charset val="134"/>
      </rPr>
      <t>螺栓屈服强度</t>
    </r>
    <r>
      <rPr>
        <sz val="11"/>
        <color theme="1"/>
        <rFont val="Tahoma"/>
        <charset val="134"/>
      </rPr>
      <t>Fs(kN)</t>
    </r>
  </si>
  <si>
    <r>
      <rPr>
        <sz val="11"/>
        <color theme="1"/>
        <rFont val="宋体"/>
        <charset val="134"/>
      </rPr>
      <t>表</t>
    </r>
    <r>
      <rPr>
        <sz val="11"/>
        <color theme="1"/>
        <rFont val="Tahoma"/>
        <charset val="134"/>
      </rPr>
      <t>1</t>
    </r>
  </si>
  <si>
    <t>D</t>
  </si>
  <si>
    <t>安全系数K</t>
  </si>
  <si>
    <r>
      <rPr>
        <sz val="11"/>
        <color theme="1"/>
        <rFont val="宋体"/>
        <charset val="134"/>
      </rPr>
      <t>附表</t>
    </r>
    <r>
      <rPr>
        <sz val="11"/>
        <color theme="1"/>
        <rFont val="Tahoma"/>
        <charset val="134"/>
      </rPr>
      <t xml:space="preserve"> </t>
    </r>
    <r>
      <rPr>
        <sz val="11"/>
        <color theme="1"/>
        <rFont val="宋体"/>
        <charset val="134"/>
      </rPr>
      <t>预紧力矩</t>
    </r>
    <r>
      <rPr>
        <sz val="11"/>
        <color theme="1"/>
        <rFont val="Tahoma"/>
        <charset val="134"/>
      </rPr>
      <t>K</t>
    </r>
    <r>
      <rPr>
        <sz val="11"/>
        <color theme="1"/>
        <rFont val="宋体"/>
        <charset val="134"/>
      </rPr>
      <t>值取值范围</t>
    </r>
    <r>
      <rPr>
        <sz val="11"/>
        <color theme="1"/>
        <rFont val="Tahoma"/>
        <charset val="134"/>
      </rPr>
      <t>(</t>
    </r>
    <r>
      <rPr>
        <sz val="11"/>
        <color theme="1"/>
        <rFont val="宋体"/>
        <charset val="134"/>
      </rPr>
      <t>《机械设计》推荐</t>
    </r>
    <r>
      <rPr>
        <sz val="11"/>
        <color theme="1"/>
        <rFont val="Tahoma"/>
        <charset val="134"/>
      </rPr>
      <t>0.2)</t>
    </r>
  </si>
  <si>
    <t>E</t>
  </si>
  <si>
    <r>
      <rPr>
        <sz val="11"/>
        <color theme="1"/>
        <rFont val="宋体"/>
        <charset val="134"/>
      </rPr>
      <t>所需螺栓</t>
    </r>
    <r>
      <rPr>
        <sz val="11"/>
        <color theme="1"/>
        <rFont val="Tahoma"/>
        <charset val="134"/>
      </rPr>
      <t>/</t>
    </r>
    <r>
      <rPr>
        <sz val="11"/>
        <color theme="1"/>
        <rFont val="宋体"/>
        <charset val="134"/>
      </rPr>
      <t>螺钉最少</t>
    </r>
    <r>
      <rPr>
        <sz val="11"/>
        <color theme="1"/>
        <rFont val="宋体"/>
        <charset val="134"/>
      </rPr>
      <t>数量</t>
    </r>
  </si>
  <si>
    <r>
      <rPr>
        <sz val="11"/>
        <color theme="1"/>
        <rFont val="宋体"/>
        <charset val="134"/>
      </rPr>
      <t>表</t>
    </r>
    <r>
      <rPr>
        <sz val="11"/>
        <color theme="1"/>
        <rFont val="Tahoma"/>
        <charset val="134"/>
      </rPr>
      <t xml:space="preserve">2 </t>
    </r>
    <r>
      <rPr>
        <sz val="11"/>
        <color theme="1"/>
        <rFont val="宋体"/>
        <charset val="134"/>
      </rPr>
      <t>许用拉力最小安全系数</t>
    </r>
    <r>
      <rPr>
        <sz val="11"/>
        <color theme="1"/>
        <rFont val="Tahoma"/>
        <charset val="134"/>
      </rPr>
      <t>K</t>
    </r>
    <r>
      <rPr>
        <sz val="11"/>
        <color theme="1"/>
        <rFont val="宋体"/>
        <charset val="134"/>
      </rPr>
      <t>选择</t>
    </r>
  </si>
  <si>
    <t>预紧力矩K值表</t>
  </si>
  <si>
    <t>SPZ</t>
  </si>
  <si>
    <t>剪切计算校核</t>
  </si>
  <si>
    <t>公称型号</t>
  </si>
  <si>
    <t>M6-M16</t>
  </si>
  <si>
    <t>M16~M30</t>
  </si>
  <si>
    <t>M30~M60</t>
  </si>
  <si>
    <t>摩擦表面状况</t>
  </si>
  <si>
    <t>有润滑</t>
  </si>
  <si>
    <t>无润滑</t>
  </si>
  <si>
    <t>SPA</t>
  </si>
  <si>
    <t>不控制预紧力时的最小安全系数</t>
  </si>
  <si>
    <t>静载荷</t>
  </si>
  <si>
    <t>5~4</t>
  </si>
  <si>
    <t>4~2.5</t>
  </si>
  <si>
    <t>2.5~2</t>
  </si>
  <si>
    <t>SPB</t>
  </si>
  <si>
    <r>
      <rPr>
        <sz val="11"/>
        <color theme="1"/>
        <rFont val="宋体"/>
        <charset val="134"/>
      </rPr>
      <t>负载最大剪切力</t>
    </r>
    <r>
      <rPr>
        <sz val="11"/>
        <color theme="1"/>
        <rFont val="Tahoma"/>
        <charset val="134"/>
      </rPr>
      <t>F(KN)</t>
    </r>
  </si>
  <si>
    <t>合金钢</t>
  </si>
  <si>
    <t>5.7~5</t>
  </si>
  <si>
    <t>5~3.4</t>
  </si>
  <si>
    <t>3.4~3</t>
  </si>
  <si>
    <t>精加工表面</t>
  </si>
  <si>
    <t>SPC</t>
  </si>
  <si>
    <t>变载荷</t>
  </si>
  <si>
    <t>12.5~8.5</t>
  </si>
  <si>
    <t>8.5~12.5</t>
  </si>
  <si>
    <t>一般加工表面</t>
  </si>
  <si>
    <t>0.13-0.15</t>
  </si>
  <si>
    <t>0.18-0.21</t>
  </si>
  <si>
    <t>10~6.8</t>
  </si>
  <si>
    <t>6.8~10</t>
  </si>
  <si>
    <t>表面氧化</t>
  </si>
  <si>
    <r>
      <rPr>
        <sz val="11"/>
        <color theme="1"/>
        <rFont val="宋体"/>
        <charset val="134"/>
      </rPr>
      <t>剪切安全系数</t>
    </r>
    <r>
      <rPr>
        <sz val="11"/>
        <color theme="1"/>
        <rFont val="Tahoma"/>
        <charset val="134"/>
      </rPr>
      <t>K</t>
    </r>
    <r>
      <rPr>
        <vertAlign val="subscript"/>
        <sz val="14"/>
        <color theme="1"/>
        <rFont val="宋体"/>
        <charset val="134"/>
        <scheme val="minor"/>
      </rPr>
      <t>τ</t>
    </r>
  </si>
  <si>
    <t>控制预紧力时的最小安全系数</t>
  </si>
  <si>
    <t>1.2~1.5</t>
  </si>
  <si>
    <t>镀锌表面</t>
  </si>
  <si>
    <t>干燥的粗加工表面</t>
  </si>
  <si>
    <t>0.26-0.3</t>
  </si>
  <si>
    <t>松螺栓连接</t>
  </si>
  <si>
    <t>1.2~1.7</t>
  </si>
  <si>
    <t>注：请选择相应的预紧力矩K值输入表1中O6单元格！</t>
  </si>
  <si>
    <r>
      <rPr>
        <sz val="11"/>
        <color theme="1"/>
        <rFont val="宋体"/>
        <charset val="134"/>
      </rPr>
      <t>说明：</t>
    </r>
    <r>
      <rPr>
        <sz val="11"/>
        <color theme="1"/>
        <rFont val="Tahoma"/>
        <charset val="134"/>
      </rPr>
      <t xml:space="preserve"> 
    1</t>
    </r>
    <r>
      <rPr>
        <sz val="11"/>
        <color theme="1"/>
        <rFont val="宋体"/>
        <charset val="134"/>
      </rPr>
      <t>，本文档将许用屈服强度</t>
    </r>
    <r>
      <rPr>
        <sz val="11"/>
        <color theme="1"/>
        <rFont val="Tahoma"/>
        <charset val="134"/>
      </rPr>
      <t>σs</t>
    </r>
    <r>
      <rPr>
        <sz val="11"/>
        <color theme="1"/>
        <rFont val="宋体"/>
        <charset val="134"/>
      </rPr>
      <t>都转换为了许用屈服力</t>
    </r>
    <r>
      <rPr>
        <sz val="11"/>
        <color theme="1"/>
        <rFont val="Tahoma"/>
        <charset val="134"/>
      </rPr>
      <t>Fs;</t>
    </r>
    <r>
      <rPr>
        <sz val="11"/>
        <color theme="1"/>
        <rFont val="宋体"/>
        <charset val="134"/>
      </rPr>
      <t xml:space="preserve">
</t>
    </r>
    <r>
      <rPr>
        <sz val="11"/>
        <color theme="1"/>
        <rFont val="Tahoma"/>
        <charset val="134"/>
      </rPr>
      <t xml:space="preserve">    2</t>
    </r>
    <r>
      <rPr>
        <sz val="11"/>
        <color theme="1"/>
        <rFont val="宋体"/>
        <charset val="134"/>
      </rPr>
      <t>，在表</t>
    </r>
    <r>
      <rPr>
        <sz val="11"/>
        <color theme="1"/>
        <rFont val="Tahoma"/>
        <charset val="134"/>
      </rPr>
      <t>1</t>
    </r>
    <r>
      <rPr>
        <sz val="11"/>
        <color theme="1"/>
        <rFont val="宋体"/>
        <charset val="134"/>
      </rPr>
      <t>中选择螺栓公称直径和强度等级，其余数据将自动计算出，如果许用计算预紧力矩，请在表</t>
    </r>
    <r>
      <rPr>
        <sz val="11"/>
        <color theme="1"/>
        <rFont val="Tahoma"/>
        <charset val="134"/>
      </rPr>
      <t>1</t>
    </r>
    <r>
      <rPr>
        <sz val="11"/>
        <color theme="1"/>
        <rFont val="宋体"/>
        <charset val="134"/>
      </rPr>
      <t>中对照附表填入预紧力矩</t>
    </r>
    <r>
      <rPr>
        <sz val="11"/>
        <color theme="1"/>
        <rFont val="Tahoma"/>
        <charset val="134"/>
      </rPr>
      <t>K</t>
    </r>
    <r>
      <rPr>
        <sz val="11"/>
        <color theme="1"/>
        <rFont val="宋体"/>
        <charset val="134"/>
      </rPr>
      <t xml:space="preserve">值。
</t>
    </r>
    <r>
      <rPr>
        <sz val="11"/>
        <color theme="1"/>
        <rFont val="Tahoma"/>
        <charset val="134"/>
      </rPr>
      <t xml:space="preserve">    3</t>
    </r>
    <r>
      <rPr>
        <sz val="11"/>
        <color theme="1"/>
        <rFont val="宋体"/>
        <charset val="134"/>
      </rPr>
      <t>，通常按计算预紧力矩的</t>
    </r>
    <r>
      <rPr>
        <sz val="11"/>
        <color theme="1"/>
        <rFont val="Tahoma"/>
        <charset val="134"/>
      </rPr>
      <t>80%</t>
    </r>
    <r>
      <rPr>
        <sz val="11"/>
        <color theme="1"/>
        <rFont val="宋体"/>
        <charset val="134"/>
      </rPr>
      <t xml:space="preserve">拧紧螺纹。
</t>
    </r>
    <r>
      <rPr>
        <sz val="11"/>
        <color theme="1"/>
        <rFont val="Tahoma"/>
        <charset val="134"/>
      </rPr>
      <t xml:space="preserve">    4</t>
    </r>
    <r>
      <rPr>
        <sz val="11"/>
        <color theme="1"/>
        <rFont val="宋体"/>
        <charset val="134"/>
      </rPr>
      <t>，表</t>
    </r>
    <r>
      <rPr>
        <sz val="11"/>
        <color theme="1"/>
        <rFont val="Tahoma"/>
        <charset val="134"/>
      </rPr>
      <t>2,</t>
    </r>
    <r>
      <rPr>
        <sz val="11"/>
        <color theme="1"/>
        <rFont val="宋体"/>
        <charset val="134"/>
      </rPr>
      <t>表</t>
    </r>
    <r>
      <rPr>
        <sz val="11"/>
        <color theme="1"/>
        <rFont val="Tahoma"/>
        <charset val="134"/>
      </rPr>
      <t>3</t>
    </r>
    <r>
      <rPr>
        <sz val="11"/>
        <color theme="1"/>
        <rFont val="宋体"/>
        <charset val="134"/>
      </rPr>
      <t>给出的</t>
    </r>
    <r>
      <rPr>
        <sz val="11"/>
        <color theme="1"/>
        <rFont val="Tahoma"/>
        <charset val="134"/>
      </rPr>
      <t>K</t>
    </r>
    <r>
      <rPr>
        <sz val="11"/>
        <color theme="1"/>
        <rFont val="宋体"/>
        <charset val="134"/>
      </rPr>
      <t>值为最低数值，可适当放大</t>
    </r>
    <r>
      <rPr>
        <sz val="11"/>
        <color theme="1"/>
        <rFont val="Tahoma"/>
        <charset val="134"/>
      </rPr>
      <t>K</t>
    </r>
    <r>
      <rPr>
        <sz val="11"/>
        <color theme="1"/>
        <rFont val="宋体"/>
        <charset val="134"/>
      </rPr>
      <t>值。</t>
    </r>
  </si>
  <si>
    <r>
      <rPr>
        <sz val="11"/>
        <color theme="1"/>
        <rFont val="宋体"/>
        <charset val="134"/>
      </rPr>
      <t>表</t>
    </r>
    <r>
      <rPr>
        <sz val="11"/>
        <color theme="1"/>
        <rFont val="Tahoma"/>
        <charset val="134"/>
      </rPr>
      <t xml:space="preserve">3 </t>
    </r>
    <r>
      <rPr>
        <sz val="11"/>
        <color theme="1"/>
        <rFont val="宋体"/>
        <charset val="134"/>
      </rPr>
      <t>许用剪切最小安全系数</t>
    </r>
  </si>
  <si>
    <t>螺栓受剪力示意图</t>
  </si>
  <si>
    <t>载荷形式</t>
  </si>
  <si>
    <r>
      <rPr>
        <sz val="11"/>
        <color theme="1"/>
        <rFont val="宋体"/>
        <charset val="134"/>
      </rPr>
      <t>安全系数K</t>
    </r>
    <r>
      <rPr>
        <vertAlign val="subscript"/>
        <sz val="14"/>
        <color theme="1"/>
        <rFont val="宋体"/>
        <charset val="134"/>
      </rPr>
      <t>τ</t>
    </r>
  </si>
  <si>
    <t>动载荷</t>
  </si>
  <si>
    <t>3.5~5</t>
  </si>
  <si>
    <t xml:space="preserve">文档信息
编写：煜宸
参考：《机械设计——第八版》——蒲良贵、纪名刚
      《机械设计手册——第五版第三卷》—成大先
      《常用螺栓强度-屈服极限-预紧力预紧扭矩》—宣言
                                          2018.9.15   
</t>
  </si>
  <si>
    <t>弹簧校核计算合集</t>
  </si>
  <si>
    <t>圆柱压缩/拉伸弹簧计算校核</t>
  </si>
  <si>
    <r>
      <rPr>
        <sz val="11"/>
        <color theme="1"/>
        <rFont val="宋体"/>
        <charset val="134"/>
      </rPr>
      <t>表</t>
    </r>
    <r>
      <rPr>
        <sz val="11"/>
        <color theme="1"/>
        <rFont val="Tahoma"/>
        <charset val="134"/>
      </rPr>
      <t xml:space="preserve">1  </t>
    </r>
    <r>
      <rPr>
        <sz val="11"/>
        <color theme="1"/>
        <rFont val="宋体"/>
        <charset val="134"/>
      </rPr>
      <t>弹簧常用材料及性能</t>
    </r>
  </si>
  <si>
    <t>材 料</t>
  </si>
  <si>
    <t>切变模量G(GPa)</t>
  </si>
  <si>
    <t>弹性模量E(GPa)</t>
  </si>
  <si>
    <t>推荐使用硬度(HRC)</t>
  </si>
  <si>
    <t>特点</t>
  </si>
  <si>
    <r>
      <rPr>
        <sz val="11"/>
        <color theme="1"/>
        <rFont val="宋体"/>
        <charset val="134"/>
      </rPr>
      <t>材料切变模量</t>
    </r>
    <r>
      <rPr>
        <sz val="11"/>
        <color theme="1"/>
        <rFont val="Tahoma"/>
        <charset val="134"/>
      </rPr>
      <t>G(GPa)</t>
    </r>
  </si>
  <si>
    <t>碳素
弹簧钢</t>
  </si>
  <si>
    <t>60~90</t>
  </si>
  <si>
    <t xml:space="preserve">d&gt;4     206
0.5&lt;=d&lt;=4  
207.5~205 </t>
  </si>
  <si>
    <t>强度高加工性能好，适用于小尺寸。但弹性极限低，不能再130°以上工作</t>
  </si>
  <si>
    <r>
      <rPr>
        <sz val="11"/>
        <color theme="1"/>
        <rFont val="宋体"/>
        <charset val="134"/>
      </rPr>
      <t>弹簧线径</t>
    </r>
    <r>
      <rPr>
        <sz val="11"/>
        <color theme="1"/>
        <rFont val="Tahoma"/>
        <charset val="134"/>
      </rPr>
      <t>d(mm)</t>
    </r>
  </si>
  <si>
    <t>60Mn, 65Mn, 70Mn</t>
  </si>
  <si>
    <r>
      <rPr>
        <sz val="11"/>
        <color theme="1"/>
        <rFont val="宋体"/>
        <charset val="134"/>
      </rPr>
      <t>弹簧中经</t>
    </r>
    <r>
      <rPr>
        <sz val="11"/>
        <color theme="1"/>
        <rFont val="Tahoma"/>
        <charset val="134"/>
      </rPr>
      <t>D(mm)</t>
    </r>
  </si>
  <si>
    <r>
      <rPr>
        <sz val="11"/>
        <color theme="1"/>
        <rFont val="宋体"/>
        <charset val="134"/>
      </rPr>
      <t>硅锰钢</t>
    </r>
    <r>
      <rPr>
        <sz val="11"/>
        <color theme="1"/>
        <rFont val="Tahoma"/>
        <charset val="134"/>
      </rPr>
      <t>55/60Si2Mn</t>
    </r>
    <r>
      <rPr>
        <sz val="11"/>
        <color theme="1"/>
        <rFont val="宋体"/>
        <charset val="134"/>
      </rPr>
      <t>，</t>
    </r>
    <r>
      <rPr>
        <sz val="11"/>
        <color theme="1"/>
        <rFont val="Tahoma"/>
        <charset val="134"/>
      </rPr>
      <t>60Si2MnA</t>
    </r>
  </si>
  <si>
    <t>45~50</t>
  </si>
  <si>
    <t>适用于变载荷、冲击载荷、高温</t>
  </si>
  <si>
    <t>1，强度计算</t>
  </si>
  <si>
    <r>
      <rPr>
        <sz val="11"/>
        <color theme="1"/>
        <rFont val="宋体"/>
        <charset val="134"/>
      </rPr>
      <t>旋绕比</t>
    </r>
    <r>
      <rPr>
        <sz val="11"/>
        <color theme="1"/>
        <rFont val="Tahoma"/>
        <charset val="134"/>
      </rPr>
      <t>C</t>
    </r>
  </si>
  <si>
    <r>
      <rPr>
        <sz val="11"/>
        <color theme="1"/>
        <rFont val="Tahoma"/>
        <charset val="134"/>
      </rPr>
      <t xml:space="preserve">C=D/d </t>
    </r>
    <r>
      <rPr>
        <sz val="11"/>
        <color theme="1"/>
        <rFont val="宋体"/>
        <charset val="134"/>
      </rPr>
      <t>表</t>
    </r>
    <r>
      <rPr>
        <sz val="11"/>
        <color theme="1"/>
        <rFont val="Tahoma"/>
        <charset val="134"/>
      </rPr>
      <t>2</t>
    </r>
  </si>
  <si>
    <r>
      <rPr>
        <sz val="11"/>
        <color theme="1"/>
        <rFont val="宋体"/>
        <charset val="134"/>
      </rPr>
      <t>铬钒钢</t>
    </r>
    <r>
      <rPr>
        <sz val="11"/>
        <color theme="1"/>
        <rFont val="Tahoma"/>
        <charset val="134"/>
      </rPr>
      <t>50/55/60CrVA</t>
    </r>
  </si>
  <si>
    <r>
      <rPr>
        <sz val="11"/>
        <color theme="1"/>
        <rFont val="宋体"/>
        <charset val="134"/>
      </rPr>
      <t>曲度系数</t>
    </r>
    <r>
      <rPr>
        <sz val="11"/>
        <color theme="1"/>
        <rFont val="Tahoma"/>
        <charset val="134"/>
      </rPr>
      <t>ks</t>
    </r>
  </si>
  <si>
    <r>
      <rPr>
        <sz val="11"/>
        <color theme="1"/>
        <rFont val="宋体"/>
        <charset val="134"/>
      </rPr>
      <t>不锈钢丝</t>
    </r>
    <r>
      <rPr>
        <sz val="11"/>
        <color theme="1"/>
        <rFont val="Tahoma"/>
        <charset val="134"/>
      </rPr>
      <t xml:space="preserve"> 302,304,316</t>
    </r>
  </si>
  <si>
    <t>耐腐蚀耐高温，适用于小弹簧</t>
  </si>
  <si>
    <t>弹簧类型</t>
  </si>
  <si>
    <t>压缩弹簧</t>
  </si>
  <si>
    <r>
      <rPr>
        <sz val="11"/>
        <color theme="1"/>
        <rFont val="宋体"/>
        <charset val="134"/>
      </rPr>
      <t>硅青铜线</t>
    </r>
    <r>
      <rPr>
        <sz val="11"/>
        <color theme="1"/>
        <rFont val="Tahoma"/>
        <charset val="134"/>
      </rPr>
      <t xml:space="preserve"> QSn3-1</t>
    </r>
  </si>
  <si>
    <t>耐潮湿耐酸耐腐蚀，但弹性极限低，不能再120°以上工作</t>
  </si>
  <si>
    <r>
      <rPr>
        <sz val="11"/>
        <color theme="1"/>
        <rFont val="宋体"/>
        <charset val="134"/>
      </rPr>
      <t>许用切应力</t>
    </r>
    <r>
      <rPr>
        <sz val="11"/>
        <color theme="1"/>
        <rFont val="Tahoma"/>
        <charset val="134"/>
      </rPr>
      <t>[</t>
    </r>
    <r>
      <rPr>
        <sz val="11"/>
        <color theme="1"/>
        <rFont val="宋体"/>
        <charset val="134"/>
        <scheme val="minor"/>
      </rPr>
      <t>τ</t>
    </r>
    <r>
      <rPr>
        <sz val="11"/>
        <color theme="1"/>
        <rFont val="Tahoma"/>
        <charset val="134"/>
      </rPr>
      <t>](Mpa)</t>
    </r>
  </si>
  <si>
    <r>
      <rPr>
        <sz val="11"/>
        <rFont val="宋体"/>
        <charset val="134"/>
      </rPr>
      <t>表</t>
    </r>
    <r>
      <rPr>
        <sz val="11"/>
        <rFont val="Tahoma"/>
        <charset val="134"/>
      </rPr>
      <t>3\4</t>
    </r>
  </si>
  <si>
    <r>
      <rPr>
        <sz val="11"/>
        <color theme="1"/>
        <rFont val="宋体"/>
        <charset val="134"/>
      </rPr>
      <t>锡青铜线</t>
    </r>
    <r>
      <rPr>
        <sz val="11"/>
        <color theme="1"/>
        <rFont val="Tahoma"/>
        <charset val="134"/>
      </rPr>
      <t xml:space="preserve"> QSn4</t>
    </r>
    <r>
      <rPr>
        <sz val="11"/>
        <color theme="1"/>
        <rFont val="宋体"/>
        <charset val="134"/>
      </rPr>
      <t>，</t>
    </r>
    <r>
      <rPr>
        <sz val="11"/>
        <color theme="1"/>
        <rFont val="Tahoma"/>
        <charset val="134"/>
      </rPr>
      <t>QSn6.5</t>
    </r>
    <r>
      <rPr>
        <sz val="11"/>
        <color theme="1"/>
        <rFont val="宋体"/>
        <charset val="134"/>
      </rPr>
      <t>，</t>
    </r>
    <r>
      <rPr>
        <sz val="11"/>
        <color theme="1"/>
        <rFont val="Tahoma"/>
        <charset val="134"/>
      </rPr>
      <t>QSn7</t>
    </r>
  </si>
  <si>
    <t>90~100HB</t>
  </si>
  <si>
    <r>
      <rPr>
        <sz val="11"/>
        <color theme="1"/>
        <rFont val="宋体"/>
        <charset val="134"/>
      </rPr>
      <t>锡青铜线</t>
    </r>
    <r>
      <rPr>
        <sz val="11"/>
        <color theme="1"/>
        <rFont val="Tahoma"/>
        <charset val="134"/>
      </rPr>
      <t xml:space="preserve"> QBe1.7</t>
    </r>
    <r>
      <rPr>
        <sz val="11"/>
        <color theme="1"/>
        <rFont val="宋体"/>
        <charset val="134"/>
      </rPr>
      <t>，</t>
    </r>
    <r>
      <rPr>
        <sz val="11"/>
        <color theme="1"/>
        <rFont val="Tahoma"/>
        <charset val="134"/>
      </rPr>
      <t>QBe2……</t>
    </r>
  </si>
  <si>
    <t>37~40</t>
  </si>
  <si>
    <t>判断强度</t>
  </si>
  <si>
    <r>
      <rPr>
        <sz val="11"/>
        <color theme="1"/>
        <rFont val="宋体"/>
        <charset val="134"/>
      </rPr>
      <t>表</t>
    </r>
    <r>
      <rPr>
        <sz val="11"/>
        <color theme="1"/>
        <rFont val="Tahoma"/>
        <charset val="134"/>
      </rPr>
      <t xml:space="preserve">2 </t>
    </r>
    <r>
      <rPr>
        <sz val="11"/>
        <color theme="1"/>
        <rFont val="宋体"/>
        <charset val="134"/>
      </rPr>
      <t>旋绕比</t>
    </r>
    <r>
      <rPr>
        <sz val="11"/>
        <color theme="1"/>
        <rFont val="Tahoma"/>
        <charset val="134"/>
      </rPr>
      <t>(</t>
    </r>
    <r>
      <rPr>
        <sz val="11"/>
        <color theme="1"/>
        <rFont val="宋体"/>
        <charset val="134"/>
      </rPr>
      <t>弹簧指数</t>
    </r>
    <r>
      <rPr>
        <sz val="11"/>
        <color theme="1"/>
        <rFont val="Tahoma"/>
        <charset val="134"/>
      </rPr>
      <t>)</t>
    </r>
    <r>
      <rPr>
        <sz val="11"/>
        <color theme="1"/>
        <rFont val="Tahoma"/>
        <charset val="134"/>
      </rPr>
      <t>C=D/d</t>
    </r>
    <r>
      <rPr>
        <sz val="11"/>
        <color theme="1"/>
        <rFont val="宋体"/>
        <charset val="134"/>
      </rPr>
      <t>，弹簧指数愈小，其刚度愈大，弹簧愈硬，弹簧内外侧的应力相差愈大，材料利用率低；反之弹簧愈软。</t>
    </r>
  </si>
  <si>
    <t>2，刚度计算</t>
  </si>
  <si>
    <t>弹簧总圈数</t>
  </si>
  <si>
    <t>弹簧丝直径d（mm）</t>
  </si>
  <si>
    <t>0.2～0.4</t>
  </si>
  <si>
    <t>0.5～1</t>
  </si>
  <si>
    <t>1.1～2.2</t>
  </si>
  <si>
    <t>2.5～6</t>
  </si>
  <si>
    <t>7～16</t>
  </si>
  <si>
    <t>18～40</t>
  </si>
  <si>
    <r>
      <rPr>
        <sz val="11"/>
        <color theme="1"/>
        <rFont val="Tahoma"/>
        <charset val="134"/>
      </rPr>
      <t>C</t>
    </r>
    <r>
      <rPr>
        <sz val="11"/>
        <rFont val="MS Mincho"/>
        <charset val="128"/>
      </rPr>
      <t>取</t>
    </r>
    <r>
      <rPr>
        <sz val="11"/>
        <rFont val="宋体"/>
        <charset val="134"/>
      </rPr>
      <t>值</t>
    </r>
    <r>
      <rPr>
        <sz val="11"/>
        <rFont val="MS Mincho"/>
        <charset val="128"/>
      </rPr>
      <t>必</t>
    </r>
    <r>
      <rPr>
        <sz val="11"/>
        <rFont val="宋体"/>
        <charset val="134"/>
      </rPr>
      <t>须</t>
    </r>
    <r>
      <rPr>
        <sz val="11"/>
        <rFont val="MS Mincho"/>
        <charset val="128"/>
      </rPr>
      <t>在</t>
    </r>
    <r>
      <rPr>
        <sz val="11"/>
        <rFont val="Arial"/>
        <charset val="134"/>
      </rPr>
      <t>4~16</t>
    </r>
  </si>
  <si>
    <t>弹簧有效圈数N</t>
  </si>
  <si>
    <t>除去两端磨平死圈</t>
  </si>
  <si>
    <t>7～14</t>
  </si>
  <si>
    <t>5～12</t>
  </si>
  <si>
    <t>5～10</t>
  </si>
  <si>
    <t>4～10</t>
  </si>
  <si>
    <t>4～8</t>
  </si>
  <si>
    <t>4～6</t>
  </si>
  <si>
    <r>
      <rPr>
        <sz val="11"/>
        <rFont val="MS Mincho"/>
        <charset val="128"/>
      </rPr>
      <t>通常取</t>
    </r>
    <r>
      <rPr>
        <sz val="11"/>
        <rFont val="Arial"/>
        <charset val="134"/>
      </rPr>
      <t>5~8</t>
    </r>
  </si>
  <si>
    <r>
      <rPr>
        <sz val="11"/>
        <color theme="1"/>
        <rFont val="宋体"/>
        <charset val="134"/>
      </rPr>
      <t>弹簧刚度</t>
    </r>
    <r>
      <rPr>
        <sz val="11"/>
        <color theme="1"/>
        <rFont val="Tahoma"/>
        <charset val="134"/>
      </rPr>
      <t>K(N/mm)</t>
    </r>
  </si>
  <si>
    <r>
      <rPr>
        <sz val="11"/>
        <color theme="1"/>
        <rFont val="宋体"/>
        <charset val="134"/>
      </rPr>
      <t>3，压缩弹簧稳定性(</t>
    </r>
    <r>
      <rPr>
        <sz val="10"/>
        <color theme="1"/>
        <rFont val="宋体"/>
        <charset val="134"/>
      </rPr>
      <t>拉伸弹簧不做</t>
    </r>
    <r>
      <rPr>
        <sz val="11"/>
        <color theme="1"/>
        <rFont val="宋体"/>
        <charset val="134"/>
      </rPr>
      <t>)</t>
    </r>
  </si>
  <si>
    <r>
      <rPr>
        <sz val="11"/>
        <color theme="1"/>
        <rFont val="宋体"/>
        <charset val="134"/>
      </rPr>
      <t>弹簧自由长度</t>
    </r>
    <r>
      <rPr>
        <sz val="11"/>
        <color theme="1"/>
        <rFont val="Tahoma"/>
        <charset val="134"/>
      </rPr>
      <t>H0(mm)</t>
    </r>
  </si>
  <si>
    <r>
      <rPr>
        <sz val="11"/>
        <color theme="1"/>
        <rFont val="宋体"/>
        <charset val="134"/>
      </rPr>
      <t>表</t>
    </r>
    <r>
      <rPr>
        <sz val="11"/>
        <color theme="1"/>
        <rFont val="Tahoma"/>
        <charset val="134"/>
      </rPr>
      <t xml:space="preserve">3  </t>
    </r>
    <r>
      <rPr>
        <sz val="11"/>
        <color theme="1"/>
        <rFont val="宋体"/>
        <charset val="134"/>
      </rPr>
      <t>碳素弹簧钢与琴钢丝</t>
    </r>
    <r>
      <rPr>
        <sz val="11"/>
        <color theme="1"/>
        <rFont val="Tahoma"/>
        <charset val="134"/>
      </rPr>
      <t>,</t>
    </r>
    <r>
      <rPr>
        <sz val="11"/>
        <color theme="1"/>
        <rFont val="宋体"/>
        <charset val="134"/>
      </rPr>
      <t>不锈钢丝许用切应力</t>
    </r>
  </si>
  <si>
    <r>
      <rPr>
        <sz val="11"/>
        <color theme="1"/>
        <rFont val="宋体"/>
        <charset val="134"/>
      </rPr>
      <t>附表</t>
    </r>
    <r>
      <rPr>
        <sz val="11"/>
        <color theme="1"/>
        <rFont val="Tahoma"/>
        <charset val="134"/>
      </rPr>
      <t xml:space="preserve"> </t>
    </r>
    <r>
      <rPr>
        <sz val="11"/>
        <color theme="1"/>
        <rFont val="宋体"/>
        <charset val="134"/>
      </rPr>
      <t>弹簧钢抗拉强度极限</t>
    </r>
    <r>
      <rPr>
        <sz val="11"/>
        <color theme="1"/>
        <rFont val="Tahoma"/>
        <charset val="134"/>
      </rPr>
      <t>(</t>
    </r>
    <r>
      <rPr>
        <sz val="11"/>
        <color theme="1"/>
        <rFont val="宋体"/>
        <charset val="134"/>
      </rPr>
      <t>应力级别：</t>
    </r>
    <r>
      <rPr>
        <sz val="11"/>
        <color theme="1"/>
        <rFont val="Tahoma"/>
        <charset val="134"/>
      </rPr>
      <t>B</t>
    </r>
    <r>
      <rPr>
        <sz val="11"/>
        <color theme="1"/>
        <rFont val="宋体"/>
        <charset val="134"/>
      </rPr>
      <t>低应力弹簧，</t>
    </r>
    <r>
      <rPr>
        <sz val="11"/>
        <color theme="1"/>
        <rFont val="Tahoma"/>
        <charset val="134"/>
      </rPr>
      <t>C</t>
    </r>
    <r>
      <rPr>
        <sz val="11"/>
        <color theme="1"/>
        <rFont val="宋体"/>
        <charset val="134"/>
      </rPr>
      <t>中应力弹簧，</t>
    </r>
    <r>
      <rPr>
        <sz val="11"/>
        <color theme="1"/>
        <rFont val="Tahoma"/>
        <charset val="134"/>
      </rPr>
      <t>D</t>
    </r>
    <r>
      <rPr>
        <sz val="11"/>
        <color theme="1"/>
        <rFont val="宋体"/>
        <charset val="134"/>
      </rPr>
      <t>高应力弹簧</t>
    </r>
    <r>
      <rPr>
        <sz val="11"/>
        <color theme="1"/>
        <rFont val="Tahoma"/>
        <charset val="134"/>
      </rPr>
      <t>)</t>
    </r>
  </si>
  <si>
    <r>
      <rPr>
        <sz val="11"/>
        <color theme="1"/>
        <rFont val="宋体"/>
        <charset val="134"/>
      </rPr>
      <t>长细比</t>
    </r>
    <r>
      <rPr>
        <sz val="11"/>
        <color theme="1"/>
        <rFont val="Tahoma"/>
        <charset val="134"/>
      </rPr>
      <t>b</t>
    </r>
  </si>
  <si>
    <r>
      <rPr>
        <b/>
        <sz val="11"/>
        <color rgb="FFFF0000"/>
        <rFont val="宋体"/>
        <charset val="134"/>
      </rPr>
      <t>载荷性质：</t>
    </r>
    <r>
      <rPr>
        <sz val="11"/>
        <color theme="1"/>
        <rFont val="宋体"/>
        <charset val="134"/>
      </rPr>
      <t xml:space="preserve">
</t>
    </r>
    <r>
      <rPr>
        <b/>
        <sz val="11"/>
        <color theme="1"/>
        <rFont val="Tahoma"/>
        <charset val="134"/>
      </rPr>
      <t>I=</t>
    </r>
    <r>
      <rPr>
        <b/>
        <sz val="11"/>
        <color theme="1"/>
        <rFont val="宋体"/>
        <charset val="134"/>
      </rPr>
      <t>无限疲劳寿命</t>
    </r>
    <r>
      <rPr>
        <sz val="11"/>
        <color theme="1"/>
        <rFont val="宋体"/>
        <charset val="134"/>
      </rPr>
      <t>，交变载荷次数</t>
    </r>
    <r>
      <rPr>
        <sz val="11"/>
        <color theme="1"/>
        <rFont val="Tahoma"/>
        <charset val="134"/>
      </rPr>
      <t>&gt;10</t>
    </r>
    <r>
      <rPr>
        <vertAlign val="superscript"/>
        <sz val="12"/>
        <color theme="1"/>
        <rFont val="Tahoma"/>
        <charset val="134"/>
      </rPr>
      <t>6</t>
    </r>
    <r>
      <rPr>
        <sz val="11"/>
        <color theme="1"/>
        <rFont val="宋体"/>
        <charset val="134"/>
      </rPr>
      <t xml:space="preserve">，如内燃机气门弹簧、电磁制动器弹簧；
</t>
    </r>
    <r>
      <rPr>
        <b/>
        <sz val="11"/>
        <color theme="1"/>
        <rFont val="Tahoma"/>
        <charset val="134"/>
      </rPr>
      <t>II=</t>
    </r>
    <r>
      <rPr>
        <b/>
        <sz val="11"/>
        <color theme="1"/>
        <rFont val="宋体"/>
        <charset val="134"/>
      </rPr>
      <t>有限疲劳寿命</t>
    </r>
    <r>
      <rPr>
        <sz val="11"/>
        <color theme="1"/>
        <rFont val="宋体"/>
        <charset val="134"/>
      </rPr>
      <t>，交变载荷次数</t>
    </r>
    <r>
      <rPr>
        <sz val="11"/>
        <color theme="1"/>
        <rFont val="Tahoma"/>
        <charset val="134"/>
      </rPr>
      <t>10</t>
    </r>
    <r>
      <rPr>
        <vertAlign val="superscript"/>
        <sz val="12"/>
        <color theme="1"/>
        <rFont val="Tahoma"/>
        <charset val="134"/>
      </rPr>
      <t>3</t>
    </r>
    <r>
      <rPr>
        <sz val="11"/>
        <color theme="1"/>
        <rFont val="Tahoma"/>
        <charset val="134"/>
      </rPr>
      <t>~10</t>
    </r>
    <r>
      <rPr>
        <vertAlign val="superscript"/>
        <sz val="12"/>
        <color theme="1"/>
        <rFont val="Tahoma"/>
        <charset val="134"/>
      </rPr>
      <t>5</t>
    </r>
    <r>
      <rPr>
        <sz val="11"/>
        <color theme="1"/>
        <rFont val="Tahoma"/>
        <charset val="134"/>
      </rPr>
      <t>,</t>
    </r>
    <r>
      <rPr>
        <sz val="11"/>
        <color theme="1"/>
        <rFont val="宋体"/>
        <charset val="134"/>
      </rPr>
      <t xml:space="preserve">如一般车辆弹簧
</t>
    </r>
    <r>
      <rPr>
        <b/>
        <sz val="11"/>
        <color theme="1"/>
        <rFont val="Tahoma"/>
        <charset val="134"/>
      </rPr>
      <t>III=</t>
    </r>
    <r>
      <rPr>
        <b/>
        <sz val="11"/>
        <color theme="1"/>
        <rFont val="宋体"/>
        <charset val="134"/>
      </rPr>
      <t>静载荷</t>
    </r>
    <r>
      <rPr>
        <sz val="11"/>
        <color theme="1"/>
        <rFont val="宋体"/>
        <charset val="134"/>
      </rPr>
      <t>，交变载荷次数</t>
    </r>
    <r>
      <rPr>
        <sz val="11"/>
        <color theme="1"/>
        <rFont val="Tahoma"/>
        <charset val="134"/>
      </rPr>
      <t>&lt;10</t>
    </r>
    <r>
      <rPr>
        <vertAlign val="superscript"/>
        <sz val="12"/>
        <color theme="1"/>
        <rFont val="Tahoma"/>
        <charset val="134"/>
      </rPr>
      <t>3</t>
    </r>
    <r>
      <rPr>
        <sz val="11"/>
        <color theme="1"/>
        <rFont val="宋体"/>
        <charset val="134"/>
      </rPr>
      <t>，如安全阀弹簧</t>
    </r>
  </si>
  <si>
    <t>弹簧安装方式</t>
  </si>
  <si>
    <t>两端固定</t>
  </si>
  <si>
    <t>不锈钢丝</t>
  </si>
  <si>
    <t>判断是否失稳</t>
  </si>
  <si>
    <r>
      <rPr>
        <sz val="11"/>
        <color theme="1"/>
        <rFont val="宋体"/>
        <charset val="134"/>
      </rPr>
      <t>不稳定系数</t>
    </r>
    <r>
      <rPr>
        <sz val="11"/>
        <color theme="1"/>
        <rFont val="Tahoma"/>
        <charset val="134"/>
      </rPr>
      <t>Cu</t>
    </r>
  </si>
  <si>
    <r>
      <rPr>
        <sz val="11"/>
        <color theme="1"/>
        <rFont val="宋体"/>
        <charset val="134"/>
      </rPr>
      <t>图</t>
    </r>
    <r>
      <rPr>
        <sz val="11"/>
        <color theme="1"/>
        <rFont val="Tahoma"/>
        <charset val="134"/>
      </rPr>
      <t>1</t>
    </r>
  </si>
  <si>
    <r>
      <rPr>
        <sz val="11"/>
        <color theme="1"/>
        <rFont val="宋体"/>
        <charset val="134"/>
      </rPr>
      <t>稳定临界载荷</t>
    </r>
    <r>
      <rPr>
        <sz val="11"/>
        <color theme="1"/>
        <rFont val="Tahoma"/>
        <charset val="134"/>
      </rPr>
      <t>Fc(N)</t>
    </r>
  </si>
  <si>
    <r>
      <rPr>
        <sz val="11"/>
        <color theme="1"/>
        <rFont val="宋体"/>
        <charset val="134"/>
      </rPr>
      <t>抗拉强度</t>
    </r>
    <r>
      <rPr>
        <sz val="11"/>
        <color theme="1"/>
        <rFont val="Tahoma"/>
        <charset val="134"/>
      </rPr>
      <t>σb(MPa)(</t>
    </r>
    <r>
      <rPr>
        <sz val="11"/>
        <color theme="1"/>
        <rFont val="宋体"/>
        <charset val="134"/>
      </rPr>
      <t>右表</t>
    </r>
    <r>
      <rPr>
        <sz val="11"/>
        <color theme="1"/>
        <rFont val="Tahoma"/>
        <charset val="134"/>
      </rPr>
      <t>)</t>
    </r>
  </si>
  <si>
    <r>
      <rPr>
        <sz val="11"/>
        <rFont val="宋体"/>
        <charset val="134"/>
      </rPr>
      <t>实际负载压</t>
    </r>
    <r>
      <rPr>
        <sz val="11"/>
        <rFont val="Tahoma"/>
        <charset val="134"/>
      </rPr>
      <t>F(N)</t>
    </r>
  </si>
  <si>
    <r>
      <rPr>
        <b/>
        <sz val="11"/>
        <color theme="1"/>
        <rFont val="宋体"/>
        <charset val="134"/>
      </rPr>
      <t>扭转弹簧</t>
    </r>
    <r>
      <rPr>
        <sz val="11"/>
        <color theme="1"/>
        <rFont val="宋体"/>
        <charset val="134"/>
      </rPr>
      <t>许用弯应</t>
    </r>
    <r>
      <rPr>
        <sz val="11"/>
        <color theme="1"/>
        <rFont val="Tahoma"/>
        <charset val="134"/>
      </rPr>
      <t>[σp](MPa)</t>
    </r>
  </si>
  <si>
    <t>判断稳定性</t>
  </si>
  <si>
    <r>
      <rPr>
        <b/>
        <sz val="11"/>
        <color theme="1"/>
        <rFont val="宋体"/>
        <charset val="134"/>
      </rPr>
      <t>压缩弹簧</t>
    </r>
    <r>
      <rPr>
        <sz val="11"/>
        <color theme="1"/>
        <rFont val="宋体"/>
        <charset val="134"/>
      </rPr>
      <t>许用切应</t>
    </r>
    <r>
      <rPr>
        <sz val="11"/>
        <color theme="1"/>
        <rFont val="Tahoma"/>
        <charset val="134"/>
      </rPr>
      <t>[</t>
    </r>
    <r>
      <rPr>
        <sz val="11"/>
        <color theme="1"/>
        <rFont val="宋体"/>
        <charset val="134"/>
        <scheme val="minor"/>
      </rPr>
      <t>τ</t>
    </r>
    <r>
      <rPr>
        <sz val="11"/>
        <color theme="1"/>
        <rFont val="Tahoma"/>
        <charset val="134"/>
      </rPr>
      <t>](MPa)</t>
    </r>
  </si>
  <si>
    <r>
      <rPr>
        <sz val="11"/>
        <color theme="1"/>
        <rFont val="宋体"/>
        <charset val="134"/>
      </rPr>
      <t>说明：
如果</t>
    </r>
    <r>
      <rPr>
        <sz val="11"/>
        <color theme="1"/>
        <rFont val="Tahoma"/>
        <charset val="134"/>
      </rPr>
      <t>F&gt;Fc</t>
    </r>
    <r>
      <rPr>
        <sz val="11"/>
        <color theme="1"/>
        <rFont val="宋体"/>
        <charset val="134"/>
      </rPr>
      <t>，应重新选择有关参数，改变</t>
    </r>
    <r>
      <rPr>
        <sz val="11"/>
        <color theme="1"/>
        <rFont val="Tahoma"/>
        <charset val="134"/>
      </rPr>
      <t>b</t>
    </r>
    <r>
      <rPr>
        <sz val="11"/>
        <color theme="1"/>
        <rFont val="宋体"/>
        <charset val="134"/>
      </rPr>
      <t>值，提高</t>
    </r>
    <r>
      <rPr>
        <sz val="11"/>
        <color theme="1"/>
        <rFont val="Tahoma"/>
        <charset val="134"/>
      </rPr>
      <t>Fc</t>
    </r>
    <r>
      <rPr>
        <sz val="11"/>
        <color theme="1"/>
        <rFont val="宋体"/>
        <charset val="134"/>
      </rPr>
      <t>的大小，使其大于负载</t>
    </r>
    <r>
      <rPr>
        <sz val="11"/>
        <color theme="1"/>
        <rFont val="Tahoma"/>
        <charset val="134"/>
      </rPr>
      <t>F</t>
    </r>
    <r>
      <rPr>
        <sz val="11"/>
        <color theme="1"/>
        <rFont val="宋体"/>
        <charset val="134"/>
      </rPr>
      <t xml:space="preserve">之值，以保证弹簧的稳定性。
</t>
    </r>
    <r>
      <rPr>
        <b/>
        <sz val="11"/>
        <color theme="1"/>
        <rFont val="宋体"/>
        <charset val="134"/>
      </rPr>
      <t>若受结构限制而不能改变参数时</t>
    </r>
    <r>
      <rPr>
        <sz val="11"/>
        <color theme="1"/>
        <rFont val="宋体"/>
        <charset val="134"/>
      </rPr>
      <t>，就应该参照</t>
    </r>
    <r>
      <rPr>
        <sz val="11"/>
        <color rgb="FFFF0000"/>
        <rFont val="宋体"/>
        <charset val="134"/>
      </rPr>
      <t>图</t>
    </r>
    <r>
      <rPr>
        <sz val="11"/>
        <color rgb="FFFF0000"/>
        <rFont val="Tahoma"/>
        <charset val="134"/>
      </rPr>
      <t>2</t>
    </r>
    <r>
      <rPr>
        <sz val="11"/>
        <color theme="1"/>
        <rFont val="宋体"/>
        <charset val="134"/>
      </rPr>
      <t>加装图</t>
    </r>
    <r>
      <rPr>
        <sz val="11"/>
        <color theme="1"/>
        <rFont val="Tahoma"/>
        <charset val="134"/>
      </rPr>
      <t>b</t>
    </r>
    <r>
      <rPr>
        <sz val="11"/>
        <color theme="1"/>
        <rFont val="宋体"/>
        <charset val="134"/>
      </rPr>
      <t>、</t>
    </r>
    <r>
      <rPr>
        <sz val="11"/>
        <color theme="1"/>
        <rFont val="Tahoma"/>
        <charset val="134"/>
      </rPr>
      <t>c</t>
    </r>
    <r>
      <rPr>
        <sz val="11"/>
        <color theme="1"/>
        <rFont val="宋体"/>
        <charset val="134"/>
      </rPr>
      <t>所示的导杆或导套，此时需注意导杆</t>
    </r>
    <r>
      <rPr>
        <sz val="11"/>
        <color theme="1"/>
        <rFont val="Tahoma"/>
        <charset val="134"/>
      </rPr>
      <t>/</t>
    </r>
    <r>
      <rPr>
        <sz val="11"/>
        <color theme="1"/>
        <rFont val="宋体"/>
        <charset val="134"/>
      </rPr>
      <t>套与弹簧间距</t>
    </r>
    <r>
      <rPr>
        <sz val="11"/>
        <color theme="1"/>
        <rFont val="Tahoma"/>
        <charset val="134"/>
      </rPr>
      <t>(</t>
    </r>
    <r>
      <rPr>
        <sz val="11"/>
        <color theme="1"/>
        <rFont val="宋体"/>
        <charset val="134"/>
      </rPr>
      <t>见附表</t>
    </r>
    <r>
      <rPr>
        <sz val="11"/>
        <color theme="1"/>
        <rFont val="Tahoma"/>
        <charset val="134"/>
      </rPr>
      <t>)</t>
    </r>
  </si>
  <si>
    <r>
      <rPr>
        <b/>
        <sz val="11"/>
        <color theme="1"/>
        <rFont val="宋体"/>
        <charset val="134"/>
      </rPr>
      <t>拉伸弹簧</t>
    </r>
    <r>
      <rPr>
        <sz val="11"/>
        <color theme="1"/>
        <rFont val="宋体"/>
        <charset val="134"/>
      </rPr>
      <t>许用切应</t>
    </r>
    <r>
      <rPr>
        <sz val="11"/>
        <color theme="1"/>
        <rFont val="Tahoma"/>
        <charset val="134"/>
      </rPr>
      <t>[</t>
    </r>
    <r>
      <rPr>
        <sz val="11"/>
        <color theme="1"/>
        <rFont val="宋体"/>
        <charset val="134"/>
        <scheme val="minor"/>
      </rPr>
      <t>τ</t>
    </r>
    <r>
      <rPr>
        <sz val="11"/>
        <color theme="1"/>
        <rFont val="Tahoma"/>
        <charset val="134"/>
      </rPr>
      <t>](MPa)</t>
    </r>
  </si>
  <si>
    <r>
      <rPr>
        <sz val="11"/>
        <color theme="1"/>
        <rFont val="宋体"/>
        <charset val="134"/>
      </rPr>
      <t>表4</t>
    </r>
    <r>
      <rPr>
        <sz val="11"/>
        <color theme="1"/>
        <rFont val="Tahoma"/>
        <charset val="134"/>
      </rPr>
      <t xml:space="preserve">  </t>
    </r>
    <r>
      <rPr>
        <sz val="11"/>
        <color theme="1"/>
        <rFont val="宋体"/>
        <charset val="134"/>
      </rPr>
      <t>合金弹簧钢许用应力</t>
    </r>
  </si>
  <si>
    <t>类型</t>
  </si>
  <si>
    <t>65Mn</t>
  </si>
  <si>
    <r>
      <rPr>
        <sz val="10.5"/>
        <color theme="1"/>
        <rFont val="宋体"/>
        <charset val="134"/>
      </rPr>
      <t>硅锰</t>
    </r>
    <r>
      <rPr>
        <sz val="10.5"/>
        <color theme="1"/>
        <rFont val="Tahoma"/>
        <charset val="134"/>
      </rPr>
      <t>,</t>
    </r>
    <r>
      <rPr>
        <sz val="10.5"/>
        <color theme="1"/>
        <rFont val="宋体"/>
        <charset val="134"/>
      </rPr>
      <t>铬钒</t>
    </r>
    <r>
      <rPr>
        <sz val="10"/>
        <color theme="1"/>
        <rFont val="Tahoma"/>
        <charset val="134"/>
      </rPr>
      <t>55Si2Mn(B
60Si2Mn(A
50CrVA</t>
    </r>
  </si>
  <si>
    <r>
      <rPr>
        <sz val="11"/>
        <color theme="1"/>
        <rFont val="宋体"/>
        <charset val="134"/>
      </rPr>
      <t>铬锰钢</t>
    </r>
    <r>
      <rPr>
        <sz val="11"/>
        <color theme="1"/>
        <rFont val="Tahoma"/>
        <charset val="134"/>
      </rPr>
      <t>55CrMnA
60CrMnA</t>
    </r>
  </si>
  <si>
    <t>圆柱扭转弹簧计算校核</t>
  </si>
  <si>
    <r>
      <rPr>
        <sz val="11"/>
        <color theme="1"/>
        <rFont val="宋体"/>
        <charset val="134"/>
      </rPr>
      <t>材料弹性模量</t>
    </r>
    <r>
      <rPr>
        <sz val="11"/>
        <color theme="1"/>
        <rFont val="Tahoma"/>
        <charset val="134"/>
      </rPr>
      <t>E(GPa)</t>
    </r>
  </si>
  <si>
    <r>
      <rPr>
        <b/>
        <sz val="11"/>
        <color theme="1"/>
        <rFont val="宋体"/>
        <charset val="134"/>
      </rPr>
      <t>压缩弹簧</t>
    </r>
    <r>
      <rPr>
        <sz val="11"/>
        <color theme="1"/>
        <rFont val="宋体"/>
        <charset val="134"/>
      </rPr>
      <t>许用切应</t>
    </r>
    <r>
      <rPr>
        <sz val="11"/>
        <color theme="1"/>
        <rFont val="Tahoma"/>
        <charset val="134"/>
      </rPr>
      <t>[τ](Mpa)</t>
    </r>
  </si>
  <si>
    <t>I类弹簧</t>
  </si>
  <si>
    <r>
      <rPr>
        <sz val="11"/>
        <color theme="1"/>
        <rFont val="Tahoma"/>
        <charset val="134"/>
      </rPr>
      <t>II</t>
    </r>
    <r>
      <rPr>
        <sz val="11"/>
        <color theme="1"/>
        <rFont val="宋体"/>
        <charset val="134"/>
      </rPr>
      <t>类弹簧</t>
    </r>
  </si>
  <si>
    <r>
      <rPr>
        <sz val="11"/>
        <color theme="1"/>
        <rFont val="Tahoma"/>
        <charset val="134"/>
      </rPr>
      <t>III</t>
    </r>
    <r>
      <rPr>
        <sz val="11"/>
        <color theme="1"/>
        <rFont val="宋体"/>
        <charset val="134"/>
      </rPr>
      <t>类弹簧</t>
    </r>
  </si>
  <si>
    <r>
      <rPr>
        <sz val="11"/>
        <color theme="1"/>
        <rFont val="宋体"/>
        <charset val="134"/>
      </rPr>
      <t>抗弯截面系数</t>
    </r>
    <r>
      <rPr>
        <sz val="11"/>
        <color theme="1"/>
        <rFont val="Tahoma"/>
        <charset val="134"/>
      </rPr>
      <t>W(mm³)</t>
    </r>
  </si>
  <si>
    <r>
      <rPr>
        <b/>
        <sz val="11"/>
        <color theme="1"/>
        <rFont val="宋体"/>
        <charset val="134"/>
      </rPr>
      <t>拉伸弹簧</t>
    </r>
    <r>
      <rPr>
        <sz val="11"/>
        <color theme="1"/>
        <rFont val="宋体"/>
        <charset val="134"/>
      </rPr>
      <t>许用切应</t>
    </r>
    <r>
      <rPr>
        <sz val="11"/>
        <color theme="1"/>
        <rFont val="Tahoma"/>
        <charset val="134"/>
      </rPr>
      <t>[τ](Mpa)</t>
    </r>
  </si>
  <si>
    <r>
      <rPr>
        <sz val="11"/>
        <color theme="1"/>
        <rFont val="宋体"/>
        <charset val="134"/>
      </rPr>
      <t>曲度系数</t>
    </r>
    <r>
      <rPr>
        <sz val="11"/>
        <color theme="1"/>
        <rFont val="Tahoma"/>
        <charset val="134"/>
      </rPr>
      <t>k1</t>
    </r>
  </si>
  <si>
    <r>
      <rPr>
        <sz val="11"/>
        <color theme="1"/>
        <rFont val="宋体"/>
        <charset val="134"/>
      </rPr>
      <t>许用弯曲应力</t>
    </r>
    <r>
      <rPr>
        <sz val="11"/>
        <color theme="1"/>
        <rFont val="Tahoma"/>
        <charset val="134"/>
      </rPr>
      <t>[σp](Mpa)</t>
    </r>
  </si>
  <si>
    <r>
      <rPr>
        <sz val="11"/>
        <color theme="1"/>
        <rFont val="宋体"/>
        <charset val="134"/>
      </rPr>
      <t>表</t>
    </r>
    <r>
      <rPr>
        <sz val="11"/>
        <color theme="1"/>
        <rFont val="Tahoma"/>
        <charset val="134"/>
      </rPr>
      <t>3\4</t>
    </r>
  </si>
  <si>
    <r>
      <rPr>
        <b/>
        <sz val="11"/>
        <color theme="1"/>
        <rFont val="宋体"/>
        <charset val="134"/>
      </rPr>
      <t>扭转弹簧</t>
    </r>
    <r>
      <rPr>
        <sz val="11"/>
        <color theme="1"/>
        <rFont val="宋体"/>
        <charset val="134"/>
      </rPr>
      <t>许用弯应</t>
    </r>
    <r>
      <rPr>
        <sz val="11"/>
        <color theme="1"/>
        <rFont val="Tahoma"/>
        <charset val="134"/>
      </rPr>
      <t>[σp](Mpa</t>
    </r>
  </si>
  <si>
    <r>
      <rPr>
        <sz val="11"/>
        <color theme="1"/>
        <rFont val="宋体"/>
        <charset val="134"/>
      </rPr>
      <t>最大许用扭矩</t>
    </r>
    <r>
      <rPr>
        <sz val="11"/>
        <color theme="1"/>
        <rFont val="Tahoma"/>
        <charset val="134"/>
      </rPr>
      <t>[T](N.m)</t>
    </r>
  </si>
  <si>
    <r>
      <rPr>
        <sz val="11"/>
        <color theme="1"/>
        <rFont val="宋体"/>
        <charset val="134"/>
      </rPr>
      <t>实际负载力矩</t>
    </r>
    <r>
      <rPr>
        <sz val="11"/>
        <color theme="1"/>
        <rFont val="Tahoma"/>
        <charset val="134"/>
      </rPr>
      <t>T(N.m)</t>
    </r>
  </si>
  <si>
    <r>
      <rPr>
        <sz val="11"/>
        <color theme="1"/>
        <rFont val="Tahoma"/>
        <charset val="134"/>
      </rPr>
      <t>惯性矩I(mm</t>
    </r>
    <r>
      <rPr>
        <vertAlign val="superscript"/>
        <sz val="12"/>
        <color theme="1"/>
        <rFont val="宋体"/>
        <charset val="134"/>
      </rPr>
      <t>4</t>
    </r>
    <r>
      <rPr>
        <sz val="11"/>
        <color theme="1"/>
        <rFont val="宋体"/>
        <charset val="134"/>
      </rPr>
      <t>)</t>
    </r>
  </si>
  <si>
    <r>
      <rPr>
        <sz val="11"/>
        <rFont val="Tahoma"/>
        <charset val="134"/>
      </rPr>
      <t>I=</t>
    </r>
    <r>
      <rPr>
        <sz val="11"/>
        <rFont val="宋体"/>
        <charset val="134"/>
        <scheme val="minor"/>
      </rPr>
      <t>π</t>
    </r>
    <r>
      <rPr>
        <sz val="11"/>
        <rFont val="Tahoma"/>
        <charset val="134"/>
      </rPr>
      <t>d</t>
    </r>
    <r>
      <rPr>
        <vertAlign val="superscript"/>
        <sz val="12"/>
        <rFont val="Tahoma"/>
        <charset val="134"/>
      </rPr>
      <t>4</t>
    </r>
    <r>
      <rPr>
        <sz val="11"/>
        <rFont val="Tahoma"/>
        <charset val="134"/>
      </rPr>
      <t>/64</t>
    </r>
  </si>
  <si>
    <r>
      <rPr>
        <sz val="11"/>
        <color theme="1"/>
        <rFont val="宋体"/>
        <charset val="134"/>
      </rPr>
      <t>图</t>
    </r>
    <r>
      <rPr>
        <sz val="11"/>
        <color theme="1"/>
        <rFont val="Tahoma"/>
        <charset val="134"/>
      </rPr>
      <t>1</t>
    </r>
    <r>
      <rPr>
        <sz val="11"/>
        <color theme="1"/>
        <rFont val="宋体"/>
        <charset val="134"/>
      </rPr>
      <t>，不稳定系数图</t>
    </r>
  </si>
  <si>
    <r>
      <rPr>
        <sz val="11"/>
        <color theme="1"/>
        <rFont val="宋体"/>
        <charset val="134"/>
      </rPr>
      <t>工作扭转角</t>
    </r>
    <r>
      <rPr>
        <sz val="11"/>
        <color theme="1"/>
        <rFont val="Tahoma"/>
        <charset val="134"/>
      </rPr>
      <t>φ(</t>
    </r>
    <r>
      <rPr>
        <sz val="11"/>
        <color theme="1"/>
        <rFont val="宋体"/>
        <charset val="134"/>
      </rPr>
      <t>度</t>
    </r>
    <r>
      <rPr>
        <sz val="11"/>
        <color theme="1"/>
        <rFont val="Tahoma"/>
        <charset val="134"/>
      </rPr>
      <t>)</t>
    </r>
  </si>
  <si>
    <r>
      <rPr>
        <sz val="11"/>
        <color theme="1"/>
        <rFont val="宋体"/>
        <charset val="134"/>
      </rPr>
      <t>弹簧刚度</t>
    </r>
    <r>
      <rPr>
        <sz val="11"/>
        <color theme="1"/>
        <rFont val="Tahoma"/>
        <charset val="134"/>
      </rPr>
      <t>Kt(N.mm/</t>
    </r>
    <r>
      <rPr>
        <sz val="11"/>
        <color theme="1"/>
        <rFont val="宋体"/>
        <charset val="134"/>
      </rPr>
      <t>度</t>
    </r>
    <r>
      <rPr>
        <sz val="11"/>
        <color theme="1"/>
        <rFont val="Tahoma"/>
        <charset val="134"/>
      </rPr>
      <t>)</t>
    </r>
  </si>
  <si>
    <r>
      <rPr>
        <sz val="11"/>
        <color theme="1"/>
        <rFont val="宋体"/>
        <charset val="134"/>
      </rPr>
      <t>说明：</t>
    </r>
    <r>
      <rPr>
        <sz val="11"/>
        <color theme="1"/>
        <rFont val="Tahoma"/>
        <charset val="134"/>
      </rPr>
      <t xml:space="preserve"> 
    1</t>
    </r>
    <r>
      <rPr>
        <sz val="11"/>
        <color theme="1"/>
        <rFont val="宋体"/>
        <charset val="134"/>
      </rPr>
      <t>，本文</t>
    </r>
    <r>
      <rPr>
        <sz val="11"/>
        <color theme="1"/>
        <rFont val="Tahoma"/>
        <charset val="134"/>
      </rPr>
      <t>D</t>
    </r>
    <r>
      <rPr>
        <sz val="11"/>
        <color theme="1"/>
        <rFont val="宋体"/>
        <charset val="134"/>
      </rPr>
      <t>表示弹簧中径，</t>
    </r>
    <r>
      <rPr>
        <sz val="11"/>
        <color theme="1"/>
        <rFont val="Tahoma"/>
        <charset val="134"/>
      </rPr>
      <t>d</t>
    </r>
    <r>
      <rPr>
        <sz val="11"/>
        <color theme="1"/>
        <rFont val="宋体"/>
        <charset val="134"/>
      </rPr>
      <t>表示弹簧线径，</t>
    </r>
    <r>
      <rPr>
        <sz val="11"/>
        <color theme="1"/>
        <rFont val="Tahoma"/>
        <charset val="134"/>
      </rPr>
      <t>H0</t>
    </r>
    <r>
      <rPr>
        <sz val="11"/>
        <color theme="1"/>
        <rFont val="宋体"/>
        <charset val="134"/>
      </rPr>
      <t xml:space="preserve">表示自由长度，如附图
</t>
    </r>
    <r>
      <rPr>
        <sz val="11"/>
        <color theme="1"/>
        <rFont val="Tahoma"/>
        <charset val="134"/>
      </rPr>
      <t xml:space="preserve">    2</t>
    </r>
    <r>
      <rPr>
        <sz val="11"/>
        <color theme="1"/>
        <rFont val="宋体"/>
        <charset val="134"/>
      </rPr>
      <t>，弹性刚度</t>
    </r>
    <r>
      <rPr>
        <sz val="11"/>
        <color theme="1"/>
        <rFont val="Tahoma"/>
        <charset val="134"/>
      </rPr>
      <t>K</t>
    </r>
    <r>
      <rPr>
        <sz val="11"/>
        <color theme="1"/>
        <rFont val="宋体"/>
        <charset val="134"/>
      </rPr>
      <t>即弹性常数，满足胡克定律：
拉压弹簧力与长度变形关系</t>
    </r>
    <r>
      <rPr>
        <sz val="11"/>
        <color theme="1"/>
        <rFont val="Tahoma"/>
        <charset val="134"/>
      </rPr>
      <t>F=K×</t>
    </r>
    <r>
      <rPr>
        <sz val="11"/>
        <color theme="1"/>
        <rFont val="宋体"/>
        <charset val="134"/>
      </rPr>
      <t>△</t>
    </r>
    <r>
      <rPr>
        <sz val="11"/>
        <color theme="1"/>
        <rFont val="Tahoma"/>
        <charset val="134"/>
      </rPr>
      <t>L</t>
    </r>
    <r>
      <rPr>
        <sz val="11"/>
        <color theme="1"/>
        <rFont val="宋体"/>
        <charset val="134"/>
      </rPr>
      <t>，
扭转弹簧扭矩</t>
    </r>
    <r>
      <rPr>
        <sz val="11"/>
        <color theme="1"/>
        <rFont val="Tahoma"/>
        <charset val="134"/>
      </rPr>
      <t>(</t>
    </r>
    <r>
      <rPr>
        <sz val="11"/>
        <color theme="1"/>
        <rFont val="宋体"/>
        <charset val="134"/>
      </rPr>
      <t>力矩</t>
    </r>
    <r>
      <rPr>
        <sz val="11"/>
        <color theme="1"/>
        <rFont val="Tahoma"/>
        <charset val="134"/>
      </rPr>
      <t>)</t>
    </r>
    <r>
      <rPr>
        <sz val="11"/>
        <color theme="1"/>
        <rFont val="宋体"/>
        <charset val="134"/>
      </rPr>
      <t>与转动角度关系</t>
    </r>
    <r>
      <rPr>
        <sz val="11"/>
        <color theme="1"/>
        <rFont val="Tahoma"/>
        <charset val="134"/>
      </rPr>
      <t>T=Kt×</t>
    </r>
    <r>
      <rPr>
        <sz val="11"/>
        <color theme="1"/>
        <rFont val="宋体"/>
        <charset val="134"/>
      </rPr>
      <t>△</t>
    </r>
    <r>
      <rPr>
        <sz val="11"/>
        <color theme="1"/>
        <rFont val="Tahoma"/>
        <charset val="134"/>
      </rPr>
      <t>φ
    3</t>
    </r>
    <r>
      <rPr>
        <sz val="11"/>
        <color theme="1"/>
        <rFont val="宋体"/>
        <charset val="134"/>
      </rPr>
      <t>，如果是碳钢或不锈钢弹簧，在表</t>
    </r>
    <r>
      <rPr>
        <sz val="11"/>
        <color theme="1"/>
        <rFont val="Tahoma"/>
        <charset val="134"/>
      </rPr>
      <t>3</t>
    </r>
    <r>
      <rPr>
        <sz val="11"/>
        <color theme="1"/>
        <rFont val="宋体"/>
        <charset val="134"/>
      </rPr>
      <t>中选择材料和载荷性质、输入弹簧线径和抗拉强度</t>
    </r>
    <r>
      <rPr>
        <sz val="11"/>
        <color theme="1"/>
        <rFont val="Tahoma"/>
        <charset val="134"/>
      </rPr>
      <t>(</t>
    </r>
    <r>
      <rPr>
        <sz val="11"/>
        <color theme="1"/>
        <rFont val="宋体"/>
        <charset val="134"/>
      </rPr>
      <t>附表查询</t>
    </r>
    <r>
      <rPr>
        <sz val="11"/>
        <color theme="1"/>
        <rFont val="Tahoma"/>
        <charset val="134"/>
      </rPr>
      <t>)</t>
    </r>
    <r>
      <rPr>
        <sz val="11"/>
        <color theme="1"/>
        <rFont val="宋体"/>
        <charset val="134"/>
      </rPr>
      <t>，即可在下方自动计算出许用应力值，如果是合金钢弹簧，直接在表</t>
    </r>
    <r>
      <rPr>
        <sz val="11"/>
        <color theme="1"/>
        <rFont val="Tahoma"/>
        <charset val="134"/>
      </rPr>
      <t>4</t>
    </r>
    <r>
      <rPr>
        <sz val="11"/>
        <color theme="1"/>
        <rFont val="宋体"/>
        <charset val="134"/>
      </rPr>
      <t xml:space="preserve">中查询许用应力值，再将此值带回主表“强度计算”中计算校核
</t>
    </r>
    <r>
      <rPr>
        <sz val="11"/>
        <color theme="1"/>
        <rFont val="Tahoma"/>
        <charset val="134"/>
      </rPr>
      <t xml:space="preserve">   </t>
    </r>
  </si>
  <si>
    <t xml:space="preserve">文档信息
编写：煜宸
参考：《机械设计——第八版》——蒲良贵、纪名刚
      《机械设计手册——第五版第三卷》——成大先
      《英科宇机械工程师设计手册电子版》                     2018.9.17                                    
</t>
  </si>
  <si>
    <t>图2，压缩弹簧失稳与对策</t>
  </si>
  <si>
    <r>
      <rPr>
        <sz val="11"/>
        <color theme="1"/>
        <rFont val="宋体"/>
        <charset val="134"/>
      </rPr>
      <t>附图</t>
    </r>
    <r>
      <rPr>
        <sz val="11"/>
        <color theme="1"/>
        <rFont val="Tahoma"/>
        <charset val="134"/>
      </rPr>
      <t xml:space="preserve"> </t>
    </r>
    <r>
      <rPr>
        <sz val="11"/>
        <color theme="1"/>
        <rFont val="宋体"/>
        <charset val="134"/>
      </rPr>
      <t>弹簧尺寸</t>
    </r>
  </si>
  <si>
    <r>
      <rPr>
        <sz val="11"/>
        <color theme="1"/>
        <rFont val="Tahoma"/>
        <charset val="134"/>
      </rPr>
      <t xml:space="preserve">a </t>
    </r>
    <r>
      <rPr>
        <sz val="11"/>
        <color theme="1"/>
        <rFont val="宋体"/>
        <charset val="134"/>
      </rPr>
      <t>失稳</t>
    </r>
  </si>
  <si>
    <r>
      <rPr>
        <sz val="11"/>
        <color theme="1"/>
        <rFont val="Tahoma"/>
        <charset val="134"/>
      </rPr>
      <t xml:space="preserve">b </t>
    </r>
    <r>
      <rPr>
        <sz val="11"/>
        <color theme="1"/>
        <rFont val="宋体"/>
        <charset val="134"/>
      </rPr>
      <t>加装导杆</t>
    </r>
  </si>
  <si>
    <r>
      <rPr>
        <sz val="11"/>
        <color theme="1"/>
        <rFont val="Tahoma"/>
        <charset val="134"/>
      </rPr>
      <t xml:space="preserve">c </t>
    </r>
    <r>
      <rPr>
        <sz val="11"/>
        <color theme="1"/>
        <rFont val="宋体"/>
        <charset val="134"/>
      </rPr>
      <t>加装导套</t>
    </r>
  </si>
  <si>
    <r>
      <rPr>
        <sz val="11"/>
        <color theme="1"/>
        <rFont val="宋体"/>
        <charset val="134"/>
      </rPr>
      <t>附表</t>
    </r>
    <r>
      <rPr>
        <sz val="11"/>
        <color theme="1"/>
        <rFont val="Tahoma"/>
        <charset val="134"/>
      </rPr>
      <t xml:space="preserve"> </t>
    </r>
    <r>
      <rPr>
        <sz val="11"/>
        <color theme="1"/>
        <rFont val="宋体"/>
        <charset val="134"/>
      </rPr>
      <t>导杆</t>
    </r>
    <r>
      <rPr>
        <sz val="11"/>
        <color theme="1"/>
        <rFont val="Tahoma"/>
        <charset val="134"/>
      </rPr>
      <t>/</t>
    </r>
    <r>
      <rPr>
        <sz val="11"/>
        <color theme="1"/>
        <rFont val="宋体"/>
        <charset val="134"/>
      </rPr>
      <t>导套与弹簧间距</t>
    </r>
    <r>
      <rPr>
        <sz val="11"/>
        <color theme="1"/>
        <rFont val="Tahoma"/>
        <charset val="134"/>
      </rPr>
      <t>c</t>
    </r>
  </si>
  <si>
    <r>
      <rPr>
        <sz val="10"/>
        <color theme="1"/>
        <rFont val="宋体"/>
        <charset val="134"/>
      </rPr>
      <t>中径</t>
    </r>
    <r>
      <rPr>
        <sz val="10"/>
        <color theme="1"/>
        <rFont val="Tahoma"/>
        <charset val="134"/>
      </rPr>
      <t>D(mm)</t>
    </r>
  </si>
  <si>
    <r>
      <rPr>
        <sz val="11"/>
        <color theme="1"/>
        <rFont val="宋体"/>
        <charset val="134"/>
      </rPr>
      <t>≤</t>
    </r>
    <r>
      <rPr>
        <sz val="11"/>
        <color theme="1"/>
        <rFont val="Tahoma"/>
        <charset val="134"/>
      </rPr>
      <t>5</t>
    </r>
  </si>
  <si>
    <r>
      <rPr>
        <sz val="11"/>
        <color theme="1"/>
        <rFont val="宋体"/>
        <charset val="134"/>
      </rPr>
      <t>＞</t>
    </r>
    <r>
      <rPr>
        <sz val="11"/>
        <color theme="1"/>
        <rFont val="Tahoma"/>
        <charset val="134"/>
      </rPr>
      <t>5~10</t>
    </r>
  </si>
  <si>
    <r>
      <rPr>
        <sz val="11"/>
        <color theme="1"/>
        <rFont val="宋体"/>
        <charset val="134"/>
      </rPr>
      <t>＞</t>
    </r>
    <r>
      <rPr>
        <sz val="11"/>
        <color theme="1"/>
        <rFont val="Tahoma"/>
        <charset val="134"/>
      </rPr>
      <t>10~18</t>
    </r>
  </si>
  <si>
    <r>
      <rPr>
        <sz val="11"/>
        <color theme="1"/>
        <rFont val="宋体"/>
        <charset val="134"/>
      </rPr>
      <t>＞</t>
    </r>
    <r>
      <rPr>
        <sz val="11"/>
        <color theme="1"/>
        <rFont val="Tahoma"/>
        <charset val="134"/>
      </rPr>
      <t>18~30</t>
    </r>
  </si>
  <si>
    <r>
      <rPr>
        <sz val="11"/>
        <color theme="1"/>
        <rFont val="宋体"/>
        <charset val="134"/>
      </rPr>
      <t>＞</t>
    </r>
    <r>
      <rPr>
        <sz val="11"/>
        <color theme="1"/>
        <rFont val="Tahoma"/>
        <charset val="134"/>
      </rPr>
      <t>30~50</t>
    </r>
  </si>
  <si>
    <r>
      <rPr>
        <sz val="11"/>
        <color theme="1"/>
        <rFont val="宋体"/>
        <charset val="134"/>
      </rPr>
      <t>＞</t>
    </r>
    <r>
      <rPr>
        <sz val="11"/>
        <color theme="1"/>
        <rFont val="Tahoma"/>
        <charset val="134"/>
      </rPr>
      <t>50~80</t>
    </r>
  </si>
  <si>
    <r>
      <rPr>
        <sz val="11"/>
        <color theme="1"/>
        <rFont val="Tahoma"/>
        <charset val="134"/>
      </rPr>
      <t>＞80</t>
    </r>
    <r>
      <rPr>
        <sz val="11"/>
        <color theme="1"/>
        <rFont val="Tahoma"/>
        <charset val="134"/>
      </rPr>
      <t>~120</t>
    </r>
  </si>
  <si>
    <r>
      <rPr>
        <sz val="10"/>
        <color theme="1"/>
        <rFont val="宋体"/>
        <charset val="134"/>
      </rPr>
      <t>间隙</t>
    </r>
    <r>
      <rPr>
        <sz val="10"/>
        <color theme="1"/>
        <rFont val="Tahoma"/>
        <charset val="134"/>
      </rPr>
      <t>c(mm)</t>
    </r>
  </si>
  <si>
    <r>
      <rPr>
        <b/>
        <sz val="16"/>
        <color theme="1"/>
        <rFont val="Tahoma"/>
        <charset val="134"/>
      </rPr>
      <t>V</t>
    </r>
    <r>
      <rPr>
        <b/>
        <sz val="16"/>
        <color theme="1"/>
        <rFont val="宋体"/>
        <charset val="134"/>
      </rPr>
      <t>带选型向导</t>
    </r>
  </si>
  <si>
    <r>
      <rPr>
        <sz val="11"/>
        <color theme="1"/>
        <rFont val="宋体"/>
        <charset val="134"/>
      </rPr>
      <t>已知条件：传递功率</t>
    </r>
    <r>
      <rPr>
        <sz val="11"/>
        <color theme="1"/>
        <rFont val="Tahoma"/>
        <charset val="134"/>
      </rPr>
      <t>P</t>
    </r>
    <r>
      <rPr>
        <sz val="11"/>
        <color theme="1"/>
        <rFont val="宋体"/>
        <charset val="134"/>
      </rPr>
      <t>（</t>
    </r>
    <r>
      <rPr>
        <sz val="11"/>
        <color theme="1"/>
        <rFont val="Tahoma"/>
        <charset val="134"/>
      </rPr>
      <t>kw</t>
    </r>
    <r>
      <rPr>
        <sz val="11"/>
        <color theme="1"/>
        <rFont val="宋体"/>
        <charset val="134"/>
      </rPr>
      <t>），主动轮转速</t>
    </r>
    <r>
      <rPr>
        <sz val="11"/>
        <color theme="1"/>
        <rFont val="Tahoma"/>
        <charset val="134"/>
      </rPr>
      <t>n1</t>
    </r>
    <r>
      <rPr>
        <sz val="11"/>
        <color theme="1"/>
        <rFont val="宋体"/>
        <charset val="134"/>
      </rPr>
      <t>（</t>
    </r>
    <r>
      <rPr>
        <sz val="11"/>
        <color theme="1"/>
        <rFont val="Tahoma"/>
        <charset val="134"/>
      </rPr>
      <t>r/min</t>
    </r>
    <r>
      <rPr>
        <sz val="11"/>
        <color theme="1"/>
        <rFont val="宋体"/>
        <charset val="134"/>
      </rPr>
      <t>）从动轮转速</t>
    </r>
    <r>
      <rPr>
        <sz val="11"/>
        <color theme="1"/>
        <rFont val="Tahoma"/>
        <charset val="134"/>
      </rPr>
      <t>n2</t>
    </r>
    <r>
      <rPr>
        <sz val="11"/>
        <color theme="1"/>
        <rFont val="宋体"/>
        <charset val="134"/>
      </rPr>
      <t>或传动比</t>
    </r>
    <r>
      <rPr>
        <sz val="11"/>
        <color theme="1"/>
        <rFont val="Tahoma"/>
        <charset val="134"/>
      </rPr>
      <t>i</t>
    </r>
  </si>
  <si>
    <r>
      <rPr>
        <sz val="11"/>
        <color theme="1"/>
        <rFont val="宋体"/>
        <charset val="134"/>
      </rPr>
      <t>表</t>
    </r>
    <r>
      <rPr>
        <sz val="11"/>
        <color theme="1"/>
        <rFont val="Tahoma"/>
        <charset val="134"/>
      </rPr>
      <t xml:space="preserve">1  </t>
    </r>
    <r>
      <rPr>
        <sz val="11"/>
        <color theme="1"/>
        <rFont val="宋体"/>
        <charset val="134"/>
      </rPr>
      <t>工作情况系数</t>
    </r>
    <r>
      <rPr>
        <sz val="11"/>
        <color theme="1"/>
        <rFont val="Tahoma"/>
        <charset val="134"/>
      </rPr>
      <t>KA</t>
    </r>
    <r>
      <rPr>
        <sz val="11"/>
        <color theme="1"/>
        <rFont val="宋体"/>
        <charset val="134"/>
      </rPr>
      <t xml:space="preserve">
</t>
    </r>
  </si>
  <si>
    <t>工作机
载荷性质</t>
  </si>
  <si>
    <t>原动机与每天工作小时数</t>
  </si>
  <si>
    <r>
      <rPr>
        <sz val="11"/>
        <color theme="1"/>
        <rFont val="宋体"/>
        <charset val="134"/>
      </rPr>
      <t>注</t>
    </r>
    <r>
      <rPr>
        <sz val="11"/>
        <color theme="1"/>
        <rFont val="Tahoma"/>
        <charset val="134"/>
      </rPr>
      <t xml:space="preserve"> 1)</t>
    </r>
    <r>
      <rPr>
        <sz val="11"/>
        <color theme="1"/>
        <rFont val="宋体"/>
        <charset val="134"/>
      </rPr>
      <t>反复启动、正反转频繁、工作条件恶劣时，</t>
    </r>
    <r>
      <rPr>
        <sz val="11"/>
        <color theme="1"/>
        <rFont val="Tahoma"/>
        <charset val="134"/>
      </rPr>
      <t>KA</t>
    </r>
    <r>
      <rPr>
        <sz val="11"/>
        <color theme="1"/>
        <rFont val="宋体"/>
        <charset val="134"/>
      </rPr>
      <t>需</t>
    </r>
    <r>
      <rPr>
        <sz val="11"/>
        <color theme="1"/>
        <rFont val="Tahoma"/>
        <charset val="134"/>
      </rPr>
      <t>x1.2</t>
    </r>
    <r>
      <rPr>
        <sz val="11"/>
        <color theme="1"/>
        <rFont val="宋体"/>
        <charset val="134"/>
      </rPr>
      <t>；</t>
    </r>
  </si>
  <si>
    <r>
      <rPr>
        <sz val="11"/>
        <color theme="1"/>
        <rFont val="宋体"/>
        <charset val="134"/>
      </rPr>
      <t>已知条件</t>
    </r>
  </si>
  <si>
    <r>
      <rPr>
        <sz val="11"/>
        <color theme="1"/>
        <rFont val="Tahoma"/>
        <charset val="134"/>
      </rPr>
      <t>所需传递功率</t>
    </r>
    <r>
      <rPr>
        <sz val="11"/>
        <color theme="1"/>
        <rFont val="Tahoma"/>
        <charset val="134"/>
      </rPr>
      <t>P(kw)</t>
    </r>
  </si>
  <si>
    <t>空、轻载启动</t>
  </si>
  <si>
    <t>重载启动</t>
  </si>
  <si>
    <r>
      <rPr>
        <sz val="11"/>
        <color theme="1"/>
        <rFont val="Tahoma"/>
        <charset val="134"/>
      </rPr>
      <t xml:space="preserve">    2</t>
    </r>
    <r>
      <rPr>
        <sz val="11"/>
        <color theme="1"/>
        <rFont val="宋体"/>
        <charset val="134"/>
      </rPr>
      <t>）增速时需要乘以下系数</t>
    </r>
  </si>
  <si>
    <r>
      <rPr>
        <sz val="11"/>
        <color theme="1"/>
        <rFont val="Tahoma"/>
        <charset val="134"/>
      </rPr>
      <t>小轮转速</t>
    </r>
    <r>
      <rPr>
        <sz val="11"/>
        <color theme="1"/>
        <rFont val="Tahoma"/>
        <charset val="134"/>
      </rPr>
      <t>n1(r/min)</t>
    </r>
  </si>
  <si>
    <t>&lt;10</t>
  </si>
  <si>
    <t>10~16</t>
  </si>
  <si>
    <t>&gt;16</t>
  </si>
  <si>
    <r>
      <rPr>
        <sz val="11"/>
        <color theme="1"/>
        <rFont val="宋体"/>
        <charset val="134"/>
      </rPr>
      <t>增速比</t>
    </r>
    <r>
      <rPr>
        <sz val="11"/>
        <color theme="1"/>
        <rFont val="Tahoma"/>
        <charset val="134"/>
      </rPr>
      <t>i</t>
    </r>
  </si>
  <si>
    <t>1.25~1.74</t>
  </si>
  <si>
    <t>1.74~2.49</t>
  </si>
  <si>
    <t>2.50~3.49</t>
  </si>
  <si>
    <r>
      <rPr>
        <sz val="10"/>
        <color theme="1"/>
        <rFont val="宋体"/>
        <charset val="134"/>
      </rPr>
      <t>＞</t>
    </r>
    <r>
      <rPr>
        <sz val="10"/>
        <color theme="1"/>
        <rFont val="Tahoma"/>
        <charset val="134"/>
      </rPr>
      <t>3.49</t>
    </r>
  </si>
  <si>
    <r>
      <rPr>
        <sz val="11"/>
        <color theme="1"/>
        <rFont val="Tahoma"/>
        <charset val="134"/>
      </rPr>
      <t>传动比</t>
    </r>
    <r>
      <rPr>
        <sz val="11"/>
        <color theme="1"/>
        <rFont val="Tahoma"/>
        <charset val="134"/>
      </rPr>
      <t>i</t>
    </r>
  </si>
  <si>
    <t>载荷变动很小</t>
  </si>
  <si>
    <t>系数</t>
  </si>
  <si>
    <r>
      <rPr>
        <sz val="11"/>
        <color theme="1"/>
        <rFont val="Tahoma"/>
        <charset val="134"/>
      </rPr>
      <t>1</t>
    </r>
    <r>
      <rPr>
        <sz val="11"/>
        <color theme="1"/>
        <rFont val="宋体"/>
        <charset val="134"/>
      </rPr>
      <t xml:space="preserve">，确定计算功率
</t>
    </r>
    <r>
      <rPr>
        <sz val="11"/>
        <color theme="1"/>
        <rFont val="Tahoma"/>
        <charset val="134"/>
      </rPr>
      <t xml:space="preserve">     Pca=K</t>
    </r>
    <r>
      <rPr>
        <vertAlign val="subscript"/>
        <sz val="14"/>
        <color theme="1"/>
        <rFont val="Tahoma"/>
        <charset val="134"/>
      </rPr>
      <t>A</t>
    </r>
    <r>
      <rPr>
        <sz val="11"/>
        <color theme="1"/>
        <rFont val="Tahoma"/>
        <charset val="134"/>
      </rPr>
      <t>.P</t>
    </r>
  </si>
  <si>
    <r>
      <rPr>
        <sz val="11"/>
        <color theme="1"/>
        <rFont val="宋体"/>
        <charset val="134"/>
      </rPr>
      <t>工作情况系数</t>
    </r>
    <r>
      <rPr>
        <sz val="11"/>
        <color theme="1"/>
        <rFont val="Tahoma"/>
        <charset val="134"/>
      </rPr>
      <t>KA</t>
    </r>
  </si>
  <si>
    <r>
      <rPr>
        <sz val="11"/>
        <color rgb="FF0070C0"/>
        <rFont val="宋体"/>
        <charset val="134"/>
      </rPr>
      <t>表</t>
    </r>
    <r>
      <rPr>
        <sz val="11"/>
        <color rgb="FF0070C0"/>
        <rFont val="Tahoma"/>
        <charset val="134"/>
      </rPr>
      <t>1</t>
    </r>
  </si>
  <si>
    <r>
      <rPr>
        <sz val="11"/>
        <color theme="1"/>
        <rFont val="宋体"/>
        <charset val="134"/>
      </rPr>
      <t>计算功率</t>
    </r>
    <r>
      <rPr>
        <sz val="11"/>
        <color theme="1"/>
        <rFont val="Tahoma"/>
        <charset val="134"/>
      </rPr>
      <t>Pca(kw)</t>
    </r>
  </si>
  <si>
    <t>载荷变动小</t>
  </si>
  <si>
    <r>
      <rPr>
        <sz val="11"/>
        <color theme="1"/>
        <rFont val="Tahoma"/>
        <charset val="134"/>
      </rPr>
      <t>2</t>
    </r>
    <r>
      <rPr>
        <sz val="11"/>
        <color theme="1"/>
        <rFont val="宋体"/>
        <charset val="134"/>
      </rPr>
      <t>，选择</t>
    </r>
    <r>
      <rPr>
        <sz val="11"/>
        <color theme="1"/>
        <rFont val="Tahoma"/>
        <charset val="134"/>
      </rPr>
      <t>V</t>
    </r>
    <r>
      <rPr>
        <sz val="11"/>
        <color theme="1"/>
        <rFont val="宋体"/>
        <charset val="134"/>
      </rPr>
      <t>带带型</t>
    </r>
  </si>
  <si>
    <r>
      <rPr>
        <sz val="11"/>
        <color theme="1"/>
        <rFont val="Tahoma"/>
        <charset val="134"/>
      </rPr>
      <t>带型选择</t>
    </r>
  </si>
  <si>
    <r>
      <rPr>
        <sz val="11"/>
        <color rgb="FF0070C0"/>
        <rFont val="宋体"/>
        <charset val="134"/>
      </rPr>
      <t>表</t>
    </r>
    <r>
      <rPr>
        <sz val="11"/>
        <color rgb="FF0070C0"/>
        <rFont val="Tahoma"/>
        <charset val="134"/>
      </rPr>
      <t>2</t>
    </r>
  </si>
  <si>
    <r>
      <rPr>
        <sz val="11"/>
        <color theme="1"/>
        <rFont val="Tahoma"/>
        <charset val="134"/>
      </rPr>
      <t>3</t>
    </r>
    <r>
      <rPr>
        <sz val="11"/>
        <color theme="1"/>
        <rFont val="宋体"/>
        <charset val="134"/>
      </rPr>
      <t xml:space="preserve">，确定小轮基准
</t>
    </r>
    <r>
      <rPr>
        <sz val="11"/>
        <color theme="1"/>
        <rFont val="Tahoma"/>
        <charset val="134"/>
      </rPr>
      <t xml:space="preserve">    </t>
    </r>
    <r>
      <rPr>
        <sz val="11"/>
        <color theme="1"/>
        <rFont val="宋体"/>
        <charset val="134"/>
      </rPr>
      <t>直径</t>
    </r>
    <r>
      <rPr>
        <sz val="11"/>
        <color theme="1"/>
        <rFont val="Tahoma"/>
        <charset val="134"/>
      </rPr>
      <t>d1</t>
    </r>
    <r>
      <rPr>
        <sz val="11"/>
        <color theme="1"/>
        <rFont val="宋体"/>
        <charset val="134"/>
      </rPr>
      <t xml:space="preserve">并验算
</t>
    </r>
    <r>
      <rPr>
        <sz val="11"/>
        <color theme="1"/>
        <rFont val="Tahoma"/>
        <charset val="134"/>
      </rPr>
      <t xml:space="preserve">    </t>
    </r>
    <r>
      <rPr>
        <sz val="11"/>
        <color theme="1"/>
        <rFont val="宋体"/>
        <charset val="134"/>
      </rPr>
      <t>带速</t>
    </r>
    <r>
      <rPr>
        <sz val="11"/>
        <color theme="1"/>
        <rFont val="Tahoma"/>
        <charset val="134"/>
      </rPr>
      <t>v</t>
    </r>
  </si>
  <si>
    <r>
      <rPr>
        <sz val="11"/>
        <color theme="1"/>
        <rFont val="宋体"/>
        <charset val="134"/>
      </rPr>
      <t>初选小带轮直径</t>
    </r>
    <r>
      <rPr>
        <sz val="11"/>
        <color theme="1"/>
        <rFont val="Tahoma"/>
        <charset val="134"/>
      </rPr>
      <t>d1</t>
    </r>
  </si>
  <si>
    <r>
      <rPr>
        <sz val="11"/>
        <color rgb="FF0070C0"/>
        <rFont val="宋体"/>
        <charset val="134"/>
      </rPr>
      <t>表</t>
    </r>
    <r>
      <rPr>
        <sz val="11"/>
        <color rgb="FF0070C0"/>
        <rFont val="Tahoma"/>
        <charset val="134"/>
      </rPr>
      <t>3</t>
    </r>
  </si>
  <si>
    <t>载荷变动较大</t>
  </si>
  <si>
    <r>
      <rPr>
        <sz val="11"/>
        <color theme="1"/>
        <rFont val="宋体"/>
        <charset val="134"/>
      </rPr>
      <t>验算带速</t>
    </r>
    <r>
      <rPr>
        <sz val="11"/>
        <color theme="1"/>
        <rFont val="Tahoma"/>
        <charset val="134"/>
      </rPr>
      <t>v(m/s)</t>
    </r>
  </si>
  <si>
    <t>5~30m/s</t>
  </si>
  <si>
    <t>SPD</t>
  </si>
  <si>
    <r>
      <rPr>
        <sz val="11"/>
        <color theme="1"/>
        <rFont val="Tahoma"/>
        <charset val="134"/>
      </rPr>
      <t>计算大轮直径</t>
    </r>
    <r>
      <rPr>
        <sz val="11"/>
        <color theme="1"/>
        <rFont val="Tahoma"/>
        <charset val="134"/>
      </rPr>
      <t>d2</t>
    </r>
  </si>
  <si>
    <t>载荷变动很大</t>
  </si>
  <si>
    <t>SPE</t>
  </si>
  <si>
    <r>
      <rPr>
        <sz val="11"/>
        <color theme="1"/>
        <rFont val="Tahoma"/>
        <charset val="134"/>
      </rPr>
      <t>圆整大轮直径</t>
    </r>
    <r>
      <rPr>
        <sz val="11"/>
        <color theme="1"/>
        <rFont val="Tahoma"/>
        <charset val="134"/>
      </rPr>
      <t>d2</t>
    </r>
  </si>
  <si>
    <r>
      <rPr>
        <sz val="11"/>
        <color theme="1"/>
        <rFont val="Tahoma"/>
        <charset val="134"/>
      </rPr>
      <t>4</t>
    </r>
    <r>
      <rPr>
        <sz val="11"/>
        <color theme="1"/>
        <rFont val="宋体"/>
        <charset val="134"/>
      </rPr>
      <t>，确定中心距</t>
    </r>
    <r>
      <rPr>
        <sz val="11"/>
        <color theme="1"/>
        <rFont val="Tahoma"/>
        <charset val="134"/>
      </rPr>
      <t xml:space="preserve">a
    </t>
    </r>
    <r>
      <rPr>
        <sz val="11"/>
        <color theme="1"/>
        <rFont val="宋体"/>
        <charset val="134"/>
      </rPr>
      <t>和基准长度</t>
    </r>
    <r>
      <rPr>
        <sz val="11"/>
        <color theme="1"/>
        <rFont val="Tahoma"/>
        <charset val="134"/>
      </rPr>
      <t>Ld</t>
    </r>
  </si>
  <si>
    <r>
      <rPr>
        <sz val="11"/>
        <color theme="1"/>
        <rFont val="宋体"/>
        <charset val="134"/>
      </rPr>
      <t>初定中心距</t>
    </r>
    <r>
      <rPr>
        <sz val="11"/>
        <color theme="1"/>
        <rFont val="Tahoma"/>
        <charset val="134"/>
      </rPr>
      <t>a0</t>
    </r>
  </si>
  <si>
    <r>
      <rPr>
        <sz val="11"/>
        <color theme="1"/>
        <rFont val="宋体"/>
        <charset val="134"/>
      </rPr>
      <t>计算基准长度</t>
    </r>
    <r>
      <rPr>
        <sz val="11"/>
        <color theme="1"/>
        <rFont val="Tahoma"/>
        <charset val="134"/>
      </rPr>
      <t>Ld0</t>
    </r>
  </si>
  <si>
    <r>
      <rPr>
        <sz val="11"/>
        <color theme="1"/>
        <rFont val="宋体"/>
        <charset val="134"/>
      </rPr>
      <t>表</t>
    </r>
    <r>
      <rPr>
        <sz val="11"/>
        <color theme="1"/>
        <rFont val="Tahoma"/>
        <charset val="134"/>
      </rPr>
      <t>2 V</t>
    </r>
    <r>
      <rPr>
        <sz val="11"/>
        <color theme="1"/>
        <rFont val="宋体"/>
        <charset val="134"/>
      </rPr>
      <t>带选型</t>
    </r>
  </si>
  <si>
    <r>
      <rPr>
        <sz val="11"/>
        <color theme="1"/>
        <rFont val="宋体"/>
        <charset val="134"/>
      </rPr>
      <t>圆整基准长度</t>
    </r>
    <r>
      <rPr>
        <sz val="11"/>
        <color theme="1"/>
        <rFont val="Tahoma"/>
        <charset val="134"/>
      </rPr>
      <t>Ld</t>
    </r>
  </si>
  <si>
    <r>
      <rPr>
        <sz val="11"/>
        <color rgb="FF0070C0"/>
        <rFont val="宋体"/>
        <charset val="134"/>
      </rPr>
      <t>表</t>
    </r>
    <r>
      <rPr>
        <sz val="11"/>
        <color rgb="FF0070C0"/>
        <rFont val="Tahoma"/>
        <charset val="134"/>
      </rPr>
      <t>4</t>
    </r>
  </si>
  <si>
    <r>
      <rPr>
        <sz val="11"/>
        <color theme="1"/>
        <rFont val="宋体"/>
        <charset val="134"/>
      </rPr>
      <t>实际中心距</t>
    </r>
    <r>
      <rPr>
        <sz val="11"/>
        <color theme="1"/>
        <rFont val="Tahoma"/>
        <charset val="134"/>
      </rPr>
      <t>a</t>
    </r>
  </si>
  <si>
    <r>
      <rPr>
        <sz val="11"/>
        <color theme="1"/>
        <rFont val="宋体"/>
        <charset val="134"/>
      </rPr>
      <t>中心距变化范围</t>
    </r>
  </si>
  <si>
    <t>a-0.015Ld~a+0.3Ld</t>
  </si>
  <si>
    <r>
      <rPr>
        <sz val="11"/>
        <color theme="1"/>
        <rFont val="Tahoma"/>
        <charset val="134"/>
      </rPr>
      <t>5</t>
    </r>
    <r>
      <rPr>
        <sz val="11"/>
        <color theme="1"/>
        <rFont val="宋体"/>
        <charset val="134"/>
      </rPr>
      <t>，验算小轮包角</t>
    </r>
    <r>
      <rPr>
        <sz val="11"/>
        <color theme="1"/>
        <rFont val="Tahoma"/>
        <charset val="134"/>
      </rPr>
      <t>α1</t>
    </r>
  </si>
  <si>
    <r>
      <rPr>
        <sz val="11"/>
        <color theme="1"/>
        <rFont val="宋体"/>
        <charset val="134"/>
      </rPr>
      <t>计算</t>
    </r>
    <r>
      <rPr>
        <sz val="11"/>
        <color theme="1"/>
        <rFont val="Tahoma"/>
        <charset val="134"/>
      </rPr>
      <t>α1</t>
    </r>
  </si>
  <si>
    <t>180°-57.3°(d2-d1)/a</t>
  </si>
  <si>
    <r>
      <rPr>
        <sz val="11"/>
        <color theme="1"/>
        <rFont val="宋体"/>
        <charset val="134"/>
      </rPr>
      <t>一般≥</t>
    </r>
    <r>
      <rPr>
        <sz val="11"/>
        <color theme="1"/>
        <rFont val="Tahoma"/>
        <charset val="134"/>
      </rPr>
      <t>120,</t>
    </r>
    <r>
      <rPr>
        <sz val="11"/>
        <color theme="1"/>
        <rFont val="宋体"/>
        <charset val="134"/>
      </rPr>
      <t>至少</t>
    </r>
    <r>
      <rPr>
        <sz val="11"/>
        <color theme="1"/>
        <rFont val="Tahoma"/>
        <charset val="134"/>
      </rPr>
      <t>90°</t>
    </r>
  </si>
  <si>
    <r>
      <rPr>
        <sz val="11"/>
        <color theme="1"/>
        <rFont val="Tahoma"/>
        <charset val="134"/>
      </rPr>
      <t>6</t>
    </r>
    <r>
      <rPr>
        <sz val="11"/>
        <color theme="1"/>
        <rFont val="宋体"/>
        <charset val="134"/>
      </rPr>
      <t xml:space="preserve">，计算带根数
</t>
    </r>
    <r>
      <rPr>
        <sz val="11"/>
        <color theme="1"/>
        <rFont val="Tahoma"/>
        <charset val="134"/>
      </rPr>
      <t xml:space="preserve">   </t>
    </r>
    <r>
      <rPr>
        <sz val="11"/>
        <color theme="1"/>
        <rFont val="宋体"/>
        <charset val="134"/>
      </rPr>
      <t>估算</t>
    </r>
    <r>
      <rPr>
        <sz val="11"/>
        <color theme="1"/>
        <rFont val="Tahoma"/>
        <charset val="134"/>
      </rPr>
      <t>Z=Pca/P0
           =</t>
    </r>
  </si>
  <si>
    <r>
      <rPr>
        <sz val="11"/>
        <color theme="1"/>
        <rFont val="宋体"/>
        <charset val="134"/>
      </rPr>
      <t>单根</t>
    </r>
    <r>
      <rPr>
        <sz val="11"/>
        <color theme="1"/>
        <rFont val="Tahoma"/>
        <charset val="134"/>
      </rPr>
      <t>V</t>
    </r>
    <r>
      <rPr>
        <sz val="11"/>
        <color theme="1"/>
        <rFont val="宋体"/>
        <charset val="134"/>
      </rPr>
      <t>带额定功率</t>
    </r>
    <r>
      <rPr>
        <sz val="11"/>
        <color theme="1"/>
        <rFont val="Tahoma"/>
        <charset val="134"/>
      </rPr>
      <t>P0</t>
    </r>
  </si>
  <si>
    <r>
      <rPr>
        <sz val="11"/>
        <color theme="1"/>
        <rFont val="Tahoma"/>
        <charset val="134"/>
      </rPr>
      <t>单根额定功率增量△</t>
    </r>
    <r>
      <rPr>
        <sz val="11"/>
        <color theme="1"/>
        <rFont val="Tahoma"/>
        <charset val="134"/>
      </rPr>
      <t>P0</t>
    </r>
  </si>
  <si>
    <r>
      <rPr>
        <sz val="11"/>
        <color theme="1"/>
        <rFont val="宋体"/>
        <charset val="134"/>
      </rPr>
      <t>长度系数</t>
    </r>
    <r>
      <rPr>
        <sz val="11"/>
        <color theme="1"/>
        <rFont val="Tahoma"/>
        <charset val="134"/>
      </rPr>
      <t>KL</t>
    </r>
  </si>
  <si>
    <r>
      <rPr>
        <sz val="11"/>
        <color theme="1"/>
        <rFont val="宋体"/>
        <charset val="134"/>
      </rPr>
      <t>包角修正系数</t>
    </r>
    <r>
      <rPr>
        <sz val="11"/>
        <color theme="1"/>
        <rFont val="Tahoma"/>
        <charset val="134"/>
      </rPr>
      <t>Kα</t>
    </r>
  </si>
  <si>
    <r>
      <rPr>
        <sz val="11"/>
        <color theme="1"/>
        <rFont val="宋体"/>
        <charset val="134"/>
      </rPr>
      <t>单根</t>
    </r>
    <r>
      <rPr>
        <sz val="11"/>
        <color theme="1"/>
        <rFont val="Tahoma"/>
        <charset val="134"/>
      </rPr>
      <t>V</t>
    </r>
    <r>
      <rPr>
        <sz val="11"/>
        <color theme="1"/>
        <rFont val="宋体"/>
        <charset val="134"/>
      </rPr>
      <t>带修正额定功率</t>
    </r>
    <r>
      <rPr>
        <sz val="11"/>
        <color theme="1"/>
        <rFont val="Tahoma"/>
        <charset val="134"/>
      </rPr>
      <t>Pr</t>
    </r>
  </si>
  <si>
    <r>
      <rPr>
        <sz val="11"/>
        <color theme="1"/>
        <rFont val="Tahoma"/>
        <charset val="134"/>
      </rPr>
      <t>Kα*KL*9(P0+</t>
    </r>
    <r>
      <rPr>
        <sz val="11"/>
        <color theme="1"/>
        <rFont val="宋体"/>
        <charset val="134"/>
      </rPr>
      <t>△</t>
    </r>
    <r>
      <rPr>
        <sz val="11"/>
        <color theme="1"/>
        <rFont val="Tahoma"/>
        <charset val="134"/>
      </rPr>
      <t>P0)</t>
    </r>
  </si>
  <si>
    <r>
      <rPr>
        <sz val="11"/>
        <color theme="1"/>
        <rFont val="宋体"/>
        <charset val="134"/>
      </rPr>
      <t>皮带根数计算</t>
    </r>
    <r>
      <rPr>
        <sz val="11"/>
        <color theme="1"/>
        <rFont val="Tahoma"/>
        <charset val="134"/>
      </rPr>
      <t>Z</t>
    </r>
  </si>
  <si>
    <t>Pca/Pr</t>
  </si>
  <si>
    <r>
      <rPr>
        <sz val="11"/>
        <color theme="1"/>
        <rFont val="宋体"/>
        <charset val="134"/>
      </rPr>
      <t>实际取值</t>
    </r>
    <r>
      <rPr>
        <sz val="11"/>
        <color theme="1"/>
        <rFont val="Tahoma"/>
        <charset val="134"/>
      </rPr>
      <t>Z</t>
    </r>
  </si>
  <si>
    <r>
      <rPr>
        <sz val="11"/>
        <color theme="1"/>
        <rFont val="宋体"/>
        <charset val="134"/>
      </rPr>
      <t>应少于</t>
    </r>
    <r>
      <rPr>
        <sz val="11"/>
        <color theme="1"/>
        <rFont val="Tahoma"/>
        <charset val="134"/>
      </rPr>
      <t>10</t>
    </r>
    <r>
      <rPr>
        <sz val="11"/>
        <color theme="1"/>
        <rFont val="宋体"/>
        <charset val="134"/>
      </rPr>
      <t>根</t>
    </r>
  </si>
  <si>
    <r>
      <rPr>
        <sz val="11"/>
        <color theme="1"/>
        <rFont val="Tahoma"/>
        <charset val="134"/>
      </rPr>
      <t>7</t>
    </r>
    <r>
      <rPr>
        <sz val="11"/>
        <color theme="1"/>
        <rFont val="宋体"/>
        <charset val="134"/>
      </rPr>
      <t>，确定带的初拉力</t>
    </r>
    <r>
      <rPr>
        <sz val="11"/>
        <color theme="1"/>
        <rFont val="Tahoma"/>
        <charset val="134"/>
      </rPr>
      <t>F0</t>
    </r>
  </si>
  <si>
    <r>
      <rPr>
        <sz val="11"/>
        <color theme="1"/>
        <rFont val="Tahoma"/>
        <charset val="134"/>
      </rPr>
      <t>V</t>
    </r>
    <r>
      <rPr>
        <sz val="11"/>
        <color theme="1"/>
        <rFont val="宋体"/>
        <charset val="134"/>
      </rPr>
      <t>带单位质量</t>
    </r>
    <r>
      <rPr>
        <sz val="11"/>
        <color theme="1"/>
        <rFont val="Tahoma"/>
        <charset val="134"/>
      </rPr>
      <t>q(kg/m)</t>
    </r>
  </si>
  <si>
    <r>
      <rPr>
        <sz val="11"/>
        <color theme="1"/>
        <rFont val="宋体"/>
        <charset val="134"/>
      </rPr>
      <t>单根最小初拉力</t>
    </r>
    <r>
      <rPr>
        <sz val="11"/>
        <color theme="1"/>
        <rFont val="Tahoma"/>
        <charset val="134"/>
      </rPr>
      <t>F0min</t>
    </r>
  </si>
  <si>
    <t>安装时保证初拉力＞左侧值,F0测定方法《机械设计》P158</t>
  </si>
  <si>
    <r>
      <rPr>
        <sz val="11"/>
        <color theme="1"/>
        <rFont val="宋体"/>
        <charset val="134"/>
      </rPr>
      <t>新安装最小初拉</t>
    </r>
    <r>
      <rPr>
        <sz val="11"/>
        <color theme="1"/>
        <rFont val="Tahoma"/>
        <charset val="134"/>
      </rPr>
      <t>1.5F0min</t>
    </r>
  </si>
  <si>
    <r>
      <rPr>
        <sz val="11"/>
        <color theme="1"/>
        <rFont val="宋体"/>
        <charset val="134"/>
      </rPr>
      <t>运转后最小初拉</t>
    </r>
    <r>
      <rPr>
        <sz val="11"/>
        <color theme="1"/>
        <rFont val="Tahoma"/>
        <charset val="134"/>
      </rPr>
      <t>1.3F0min</t>
    </r>
  </si>
  <si>
    <r>
      <rPr>
        <sz val="11"/>
        <color theme="1"/>
        <rFont val="Tahoma"/>
        <charset val="134"/>
      </rPr>
      <t>8</t>
    </r>
    <r>
      <rPr>
        <sz val="11"/>
        <color theme="1"/>
        <rFont val="宋体"/>
        <charset val="134"/>
      </rPr>
      <t>，计算压轴力</t>
    </r>
    <r>
      <rPr>
        <sz val="11"/>
        <color theme="1"/>
        <rFont val="Tahoma"/>
        <charset val="134"/>
      </rPr>
      <t>Fp</t>
    </r>
  </si>
  <si>
    <r>
      <rPr>
        <sz val="11"/>
        <color theme="1"/>
        <rFont val="宋体"/>
        <charset val="134"/>
      </rPr>
      <t>作用在轴上的压轴力</t>
    </r>
    <r>
      <rPr>
        <sz val="11"/>
        <color theme="1"/>
        <rFont val="Tahoma"/>
        <charset val="134"/>
      </rPr>
      <t>Fp</t>
    </r>
  </si>
  <si>
    <r>
      <rPr>
        <sz val="11"/>
        <color theme="1"/>
        <rFont val="Tahoma"/>
        <charset val="134"/>
      </rPr>
      <t>2*sin</t>
    </r>
    <r>
      <rPr>
        <sz val="11"/>
        <color theme="1"/>
        <rFont val="宋体"/>
        <charset val="134"/>
      </rPr>
      <t>（</t>
    </r>
    <r>
      <rPr>
        <sz val="11"/>
        <color theme="1"/>
        <rFont val="Tahoma"/>
        <charset val="134"/>
      </rPr>
      <t>0.5α</t>
    </r>
    <r>
      <rPr>
        <sz val="11"/>
        <color theme="1"/>
        <rFont val="宋体"/>
        <charset val="134"/>
      </rPr>
      <t>）</t>
    </r>
    <r>
      <rPr>
        <sz val="11"/>
        <color theme="1"/>
        <rFont val="Tahoma"/>
        <charset val="134"/>
      </rPr>
      <t>Z*F0</t>
    </r>
  </si>
  <si>
    <r>
      <rPr>
        <sz val="11"/>
        <color theme="1"/>
        <rFont val="宋体"/>
        <charset val="134"/>
      </rPr>
      <t>说明：</t>
    </r>
    <r>
      <rPr>
        <sz val="11"/>
        <color theme="1"/>
        <rFont val="Tahoma"/>
        <charset val="134"/>
      </rPr>
      <t xml:space="preserve"> 
    1</t>
    </r>
    <r>
      <rPr>
        <sz val="11"/>
        <color theme="1"/>
        <rFont val="宋体"/>
        <charset val="134"/>
      </rPr>
      <t>，带速不宜过高或过低，推荐</t>
    </r>
    <r>
      <rPr>
        <sz val="11"/>
        <color rgb="FFFF0000"/>
        <rFont val="Tahoma"/>
        <charset val="134"/>
      </rPr>
      <t>5~25m/s</t>
    </r>
    <r>
      <rPr>
        <sz val="11"/>
        <color rgb="FFFF0000"/>
        <rFont val="宋体"/>
        <charset val="134"/>
      </rPr>
      <t>，最高带速＜</t>
    </r>
    <r>
      <rPr>
        <sz val="11"/>
        <color rgb="FFFF0000"/>
        <rFont val="Tahoma"/>
        <charset val="134"/>
      </rPr>
      <t>30m/s</t>
    </r>
    <r>
      <rPr>
        <sz val="11"/>
        <color theme="1"/>
        <rFont val="宋体"/>
        <charset val="134"/>
      </rPr>
      <t>，由表</t>
    </r>
    <r>
      <rPr>
        <sz val="11"/>
        <color theme="1"/>
        <rFont val="Tahoma"/>
        <charset val="134"/>
      </rPr>
      <t>5</t>
    </r>
    <r>
      <rPr>
        <sz val="11"/>
        <color theme="1"/>
        <rFont val="宋体"/>
        <charset val="134"/>
      </rPr>
      <t>可知，大部分情况下，</t>
    </r>
    <r>
      <rPr>
        <sz val="11"/>
        <color theme="1"/>
        <rFont val="Tahoma"/>
        <charset val="134"/>
      </rPr>
      <t>V</t>
    </r>
    <r>
      <rPr>
        <sz val="11"/>
        <color theme="1"/>
        <rFont val="宋体"/>
        <charset val="134"/>
      </rPr>
      <t xml:space="preserve">带的额定功率随带速增加而增加，所以在多级传动中，一般将带传动设置在高速级（电机输出级）。
</t>
    </r>
    <r>
      <rPr>
        <sz val="11"/>
        <color theme="1"/>
        <rFont val="Tahoma"/>
        <charset val="134"/>
      </rPr>
      <t xml:space="preserve">    2</t>
    </r>
    <r>
      <rPr>
        <sz val="11"/>
        <color theme="1"/>
        <rFont val="宋体"/>
        <charset val="134"/>
      </rPr>
      <t>，带轮的材料，常用</t>
    </r>
    <r>
      <rPr>
        <sz val="11"/>
        <color rgb="FFFF0000"/>
        <rFont val="Tahoma"/>
        <charset val="134"/>
      </rPr>
      <t>HT150</t>
    </r>
    <r>
      <rPr>
        <sz val="11"/>
        <color rgb="FFFF0000"/>
        <rFont val="宋体"/>
        <charset val="134"/>
      </rPr>
      <t>或</t>
    </r>
    <r>
      <rPr>
        <sz val="11"/>
        <color rgb="FFFF0000"/>
        <rFont val="Tahoma"/>
        <charset val="134"/>
      </rPr>
      <t>HT200</t>
    </r>
    <r>
      <rPr>
        <sz val="11"/>
        <color theme="1"/>
        <rFont val="宋体"/>
        <charset val="134"/>
      </rPr>
      <t xml:space="preserve">；转速高是可采用铸钢或钢板冲压焊接；小功率时可采用铸铝或塑料。
</t>
    </r>
    <r>
      <rPr>
        <sz val="11"/>
        <color theme="1"/>
        <rFont val="Tahoma"/>
        <charset val="134"/>
      </rPr>
      <t xml:space="preserve">    3</t>
    </r>
    <r>
      <rPr>
        <sz val="11"/>
        <color theme="1"/>
        <rFont val="宋体"/>
        <charset val="134"/>
      </rPr>
      <t>，小轮包角一般应</t>
    </r>
    <r>
      <rPr>
        <sz val="11"/>
        <color rgb="FFFF0000"/>
        <rFont val="宋体"/>
        <charset val="134"/>
      </rPr>
      <t>≥</t>
    </r>
    <r>
      <rPr>
        <sz val="11"/>
        <color rgb="FFFF0000"/>
        <rFont val="Tahoma"/>
        <charset val="134"/>
      </rPr>
      <t>120°</t>
    </r>
    <r>
      <rPr>
        <sz val="11"/>
        <color theme="1"/>
        <rFont val="宋体"/>
        <charset val="134"/>
      </rPr>
      <t xml:space="preserve">，否则可加大中心距或增加张紧轮。
</t>
    </r>
    <r>
      <rPr>
        <sz val="11"/>
        <color theme="1"/>
        <rFont val="Tahoma"/>
        <charset val="134"/>
      </rPr>
      <t xml:space="preserve">    4</t>
    </r>
    <r>
      <rPr>
        <sz val="11"/>
        <color theme="1"/>
        <rFont val="宋体"/>
        <charset val="134"/>
      </rPr>
      <t>，</t>
    </r>
    <r>
      <rPr>
        <sz val="11"/>
        <color theme="1"/>
        <rFont val="Tahoma"/>
        <charset val="134"/>
      </rPr>
      <t>V</t>
    </r>
    <r>
      <rPr>
        <sz val="11"/>
        <color theme="1"/>
        <rFont val="宋体"/>
        <charset val="134"/>
      </rPr>
      <t>带尺寸与轮槽尺寸见下表</t>
    </r>
  </si>
  <si>
    <r>
      <rPr>
        <sz val="11"/>
        <color theme="1"/>
        <rFont val="宋体"/>
        <charset val="134"/>
      </rPr>
      <t>表</t>
    </r>
    <r>
      <rPr>
        <sz val="11"/>
        <color theme="1"/>
        <rFont val="Tahoma"/>
        <charset val="134"/>
      </rPr>
      <t xml:space="preserve">3 </t>
    </r>
    <r>
      <rPr>
        <sz val="11"/>
        <color theme="1"/>
        <rFont val="宋体"/>
        <charset val="134"/>
      </rPr>
      <t>带轮直径选择</t>
    </r>
  </si>
  <si>
    <r>
      <rPr>
        <sz val="16"/>
        <color rgb="FFFF0000"/>
        <rFont val="宋体"/>
        <charset val="134"/>
      </rPr>
      <t xml:space="preserve">Z </t>
    </r>
    <r>
      <rPr>
        <u/>
        <sz val="16"/>
        <rFont val="宋体"/>
        <charset val="134"/>
      </rPr>
      <t>A</t>
    </r>
    <r>
      <rPr>
        <sz val="16"/>
        <rFont val="宋体"/>
        <charset val="134"/>
      </rPr>
      <t xml:space="preserve"> </t>
    </r>
    <r>
      <rPr>
        <b/>
        <sz val="16"/>
        <rFont val="宋体"/>
        <charset val="134"/>
      </rPr>
      <t xml:space="preserve">B 
</t>
    </r>
    <r>
      <rPr>
        <i/>
        <sz val="16"/>
        <rFont val="宋体"/>
        <charset val="134"/>
      </rPr>
      <t xml:space="preserve">C </t>
    </r>
    <r>
      <rPr>
        <sz val="16"/>
        <color rgb="FF00B050"/>
        <rFont val="宋体"/>
        <charset val="134"/>
      </rPr>
      <t>D</t>
    </r>
    <r>
      <rPr>
        <sz val="16"/>
        <rFont val="宋体"/>
        <charset val="134"/>
      </rPr>
      <t xml:space="preserve"> </t>
    </r>
    <r>
      <rPr>
        <strike/>
        <sz val="16"/>
        <rFont val="宋体"/>
        <charset val="134"/>
      </rPr>
      <t>E</t>
    </r>
  </si>
  <si>
    <r>
      <rPr>
        <sz val="11"/>
        <color rgb="FFFF0000"/>
        <rFont val="Tahoma"/>
        <charset val="134"/>
      </rPr>
      <t xml:space="preserve">20  22.4  25  28  31.5  35.5  40  45 </t>
    </r>
    <r>
      <rPr>
        <u/>
        <sz val="11"/>
        <color rgb="FFFF0000"/>
        <rFont val="Tahoma"/>
        <charset val="134"/>
      </rPr>
      <t xml:space="preserve"> 50  56  63  67  71 </t>
    </r>
    <r>
      <rPr>
        <b/>
        <u/>
        <sz val="11"/>
        <color rgb="FFFF0000"/>
        <rFont val="Tahoma"/>
        <charset val="134"/>
      </rPr>
      <t xml:space="preserve"> </t>
    </r>
    <r>
      <rPr>
        <b/>
        <u/>
        <sz val="11"/>
        <rFont val="Tahoma"/>
        <charset val="134"/>
      </rPr>
      <t>75</t>
    </r>
    <r>
      <rPr>
        <b/>
        <u/>
        <sz val="11"/>
        <color rgb="FFFF0000"/>
        <rFont val="Tahoma"/>
        <charset val="134"/>
      </rPr>
      <t xml:space="preserve">  80  85  90</t>
    </r>
    <r>
      <rPr>
        <b/>
        <u/>
        <sz val="11"/>
        <color theme="1"/>
        <rFont val="Tahoma"/>
        <charset val="134"/>
      </rPr>
      <t xml:space="preserve">  95  </t>
    </r>
    <r>
      <rPr>
        <b/>
        <u/>
        <sz val="11"/>
        <color rgb="FFFF0000"/>
        <rFont val="Tahoma"/>
        <charset val="134"/>
      </rPr>
      <t>100</t>
    </r>
    <r>
      <rPr>
        <b/>
        <sz val="11"/>
        <color theme="1"/>
        <rFont val="Tahoma"/>
        <charset val="134"/>
      </rPr>
      <t xml:space="preserve">  106  </t>
    </r>
    <r>
      <rPr>
        <b/>
        <u/>
        <sz val="11"/>
        <color rgb="FFFF0000"/>
        <rFont val="Tahoma"/>
        <charset val="134"/>
      </rPr>
      <t>112</t>
    </r>
    <r>
      <rPr>
        <b/>
        <sz val="11"/>
        <color theme="1"/>
        <rFont val="Tahoma"/>
        <charset val="134"/>
      </rPr>
      <t xml:space="preserve">  118 </t>
    </r>
    <r>
      <rPr>
        <b/>
        <sz val="11"/>
        <color rgb="FFFF0000"/>
        <rFont val="Tahoma"/>
        <charset val="134"/>
      </rPr>
      <t xml:space="preserve"> </t>
    </r>
    <r>
      <rPr>
        <b/>
        <i/>
        <u/>
        <sz val="11"/>
        <color rgb="FFFF0000"/>
        <rFont val="Tahoma"/>
        <charset val="134"/>
      </rPr>
      <t xml:space="preserve">125 </t>
    </r>
    <r>
      <rPr>
        <b/>
        <i/>
        <u/>
        <sz val="11"/>
        <color theme="1"/>
        <rFont val="Tahoma"/>
        <charset val="134"/>
      </rPr>
      <t xml:space="preserve">  132  140 150 160</t>
    </r>
    <r>
      <rPr>
        <i/>
        <sz val="11"/>
        <color theme="1"/>
        <rFont val="Tahoma"/>
        <charset val="134"/>
      </rPr>
      <t xml:space="preserve"> 170 </t>
    </r>
    <r>
      <rPr>
        <b/>
        <i/>
        <u/>
        <sz val="11"/>
        <color theme="1"/>
        <rFont val="Tahoma"/>
        <charset val="134"/>
      </rPr>
      <t>180 200</t>
    </r>
    <r>
      <rPr>
        <sz val="11"/>
        <color theme="1"/>
        <rFont val="Tahoma"/>
        <charset val="134"/>
      </rPr>
      <t xml:space="preserve">  212  </t>
    </r>
    <r>
      <rPr>
        <b/>
        <i/>
        <u/>
        <sz val="11"/>
        <color theme="1"/>
        <rFont val="Tahoma"/>
        <charset val="134"/>
      </rPr>
      <t>224</t>
    </r>
    <r>
      <rPr>
        <sz val="11"/>
        <color theme="1"/>
        <rFont val="Tahoma"/>
        <charset val="134"/>
      </rPr>
      <t xml:space="preserve">  236  </t>
    </r>
    <r>
      <rPr>
        <b/>
        <i/>
        <u/>
        <sz val="11"/>
        <color theme="1"/>
        <rFont val="Tahoma"/>
        <charset val="134"/>
      </rPr>
      <t>250</t>
    </r>
    <r>
      <rPr>
        <i/>
        <sz val="11"/>
        <color theme="1"/>
        <rFont val="Tahoma"/>
        <charset val="134"/>
      </rPr>
      <t xml:space="preserve"> </t>
    </r>
    <r>
      <rPr>
        <sz val="11"/>
        <color theme="1"/>
        <rFont val="Tahoma"/>
        <charset val="134"/>
      </rPr>
      <t xml:space="preserve"> 265 </t>
    </r>
    <r>
      <rPr>
        <i/>
        <sz val="11"/>
        <color theme="1"/>
        <rFont val="Tahoma"/>
        <charset val="134"/>
      </rPr>
      <t xml:space="preserve"> </t>
    </r>
    <r>
      <rPr>
        <b/>
        <i/>
        <u/>
        <sz val="11"/>
        <color theme="1"/>
        <rFont val="Tahoma"/>
        <charset val="134"/>
      </rPr>
      <t>280</t>
    </r>
    <r>
      <rPr>
        <sz val="11"/>
        <color theme="1"/>
        <rFont val="Tahoma"/>
        <charset val="134"/>
      </rPr>
      <t xml:space="preserve">  300  </t>
    </r>
    <r>
      <rPr>
        <b/>
        <i/>
        <u/>
        <sz val="11"/>
        <color theme="1"/>
        <rFont val="Tahoma"/>
        <charset val="134"/>
      </rPr>
      <t xml:space="preserve">315  </t>
    </r>
    <r>
      <rPr>
        <b/>
        <i/>
        <u/>
        <sz val="11"/>
        <color rgb="FF00B050"/>
        <rFont val="Tahoma"/>
        <charset val="134"/>
      </rPr>
      <t>355</t>
    </r>
    <r>
      <rPr>
        <i/>
        <sz val="11"/>
        <color rgb="FF00B050"/>
        <rFont val="Tahoma"/>
        <charset val="134"/>
      </rPr>
      <t xml:space="preserve">  </t>
    </r>
    <r>
      <rPr>
        <sz val="11"/>
        <color rgb="FF00B050"/>
        <rFont val="Tahoma"/>
        <charset val="134"/>
      </rPr>
      <t xml:space="preserve">375 </t>
    </r>
    <r>
      <rPr>
        <i/>
        <sz val="11"/>
        <color rgb="FF00B050"/>
        <rFont val="Tahoma"/>
        <charset val="134"/>
      </rPr>
      <t xml:space="preserve"> </t>
    </r>
    <r>
      <rPr>
        <b/>
        <i/>
        <u/>
        <sz val="11"/>
        <color rgb="FF00B050"/>
        <rFont val="Tahoma"/>
        <charset val="134"/>
      </rPr>
      <t>400</t>
    </r>
    <r>
      <rPr>
        <b/>
        <sz val="11"/>
        <color rgb="FF00B050"/>
        <rFont val="Tahoma"/>
        <charset val="134"/>
      </rPr>
      <t xml:space="preserve"> </t>
    </r>
    <r>
      <rPr>
        <sz val="11"/>
        <color rgb="FF00B050"/>
        <rFont val="Tahoma"/>
        <charset val="134"/>
      </rPr>
      <t xml:space="preserve"> 425  </t>
    </r>
    <r>
      <rPr>
        <b/>
        <i/>
        <sz val="11"/>
        <color rgb="FF00B050"/>
        <rFont val="Tahoma"/>
        <charset val="134"/>
      </rPr>
      <t>450</t>
    </r>
    <r>
      <rPr>
        <sz val="11"/>
        <color rgb="FF00B050"/>
        <rFont val="Tahoma"/>
        <charset val="134"/>
      </rPr>
      <t xml:space="preserve">  475 </t>
    </r>
    <r>
      <rPr>
        <b/>
        <sz val="11"/>
        <color rgb="FF00B050"/>
        <rFont val="Tahoma"/>
        <charset val="134"/>
      </rPr>
      <t xml:space="preserve"> </t>
    </r>
    <r>
      <rPr>
        <b/>
        <i/>
        <strike/>
        <u/>
        <sz val="11"/>
        <color rgb="FF00B050"/>
        <rFont val="Tahoma"/>
        <charset val="134"/>
      </rPr>
      <t>500</t>
    </r>
    <r>
      <rPr>
        <strike/>
        <sz val="11"/>
        <color theme="1"/>
        <rFont val="Tahoma"/>
        <charset val="134"/>
      </rPr>
      <t xml:space="preserve"> 530 </t>
    </r>
    <r>
      <rPr>
        <b/>
        <i/>
        <strike/>
        <sz val="11"/>
        <color theme="1"/>
        <rFont val="Tahoma"/>
        <charset val="134"/>
      </rPr>
      <t xml:space="preserve"> </t>
    </r>
    <r>
      <rPr>
        <b/>
        <i/>
        <strike/>
        <sz val="11"/>
        <color rgb="FF00B050"/>
        <rFont val="Tahoma"/>
        <charset val="134"/>
      </rPr>
      <t>560</t>
    </r>
    <r>
      <rPr>
        <b/>
        <strike/>
        <sz val="11"/>
        <color rgb="FF00B050"/>
        <rFont val="Tahoma"/>
        <charset val="134"/>
      </rPr>
      <t xml:space="preserve">  </t>
    </r>
    <r>
      <rPr>
        <i/>
        <strike/>
        <sz val="11"/>
        <color rgb="FF00B050"/>
        <rFont val="Tahoma"/>
        <charset val="134"/>
      </rPr>
      <t>600</t>
    </r>
    <r>
      <rPr>
        <b/>
        <strike/>
        <sz val="11"/>
        <color rgb="FF00B050"/>
        <rFont val="Tahoma"/>
        <charset val="134"/>
      </rPr>
      <t xml:space="preserve">  </t>
    </r>
    <r>
      <rPr>
        <b/>
        <strike/>
        <u/>
        <sz val="11"/>
        <color rgb="FF00B050"/>
        <rFont val="Tahoma"/>
        <charset val="134"/>
      </rPr>
      <t>630</t>
    </r>
    <r>
      <rPr>
        <strike/>
        <sz val="11"/>
        <color rgb="FF00B050"/>
        <rFont val="Tahoma"/>
        <charset val="134"/>
      </rPr>
      <t xml:space="preserve"> </t>
    </r>
    <r>
      <rPr>
        <strike/>
        <sz val="11"/>
        <color theme="1"/>
        <rFont val="Tahoma"/>
        <charset val="134"/>
      </rPr>
      <t xml:space="preserve">  670  </t>
    </r>
    <r>
      <rPr>
        <b/>
        <i/>
        <strike/>
        <sz val="11"/>
        <color rgb="FF00B050"/>
        <rFont val="Tahoma"/>
        <charset val="134"/>
      </rPr>
      <t>710</t>
    </r>
    <r>
      <rPr>
        <i/>
        <sz val="11"/>
        <color rgb="FF00B050"/>
        <rFont val="Tahoma"/>
        <charset val="134"/>
      </rPr>
      <t xml:space="preserve">  750</t>
    </r>
    <r>
      <rPr>
        <i/>
        <sz val="11"/>
        <color theme="1"/>
        <rFont val="Tahoma"/>
        <charset val="134"/>
      </rPr>
      <t xml:space="preserve">  </t>
    </r>
    <r>
      <rPr>
        <b/>
        <i/>
        <strike/>
        <sz val="11"/>
        <color rgb="FF00B050"/>
        <rFont val="Tahoma"/>
        <charset val="134"/>
      </rPr>
      <t>800</t>
    </r>
    <r>
      <rPr>
        <i/>
        <strike/>
        <sz val="11"/>
        <color rgb="FF00B050"/>
        <rFont val="Tahoma"/>
        <charset val="134"/>
      </rPr>
      <t xml:space="preserve">  900  1000</t>
    </r>
    <r>
      <rPr>
        <i/>
        <sz val="11"/>
        <color rgb="FF00B050"/>
        <rFont val="Tahoma"/>
        <charset val="134"/>
      </rPr>
      <t xml:space="preserve"> </t>
    </r>
    <r>
      <rPr>
        <sz val="11"/>
        <color rgb="FF00B050"/>
        <rFont val="Tahoma"/>
        <charset val="134"/>
      </rPr>
      <t>1060</t>
    </r>
    <r>
      <rPr>
        <i/>
        <sz val="11"/>
        <color theme="1"/>
        <rFont val="Tahoma"/>
        <charset val="134"/>
      </rPr>
      <t xml:space="preserve"> </t>
    </r>
    <r>
      <rPr>
        <i/>
        <strike/>
        <sz val="11"/>
        <color theme="1"/>
        <rFont val="Tahoma"/>
        <charset val="134"/>
      </rPr>
      <t xml:space="preserve">1120 1250 1400  </t>
    </r>
    <r>
      <rPr>
        <strike/>
        <sz val="11"/>
        <color theme="1"/>
        <rFont val="Tahoma"/>
        <charset val="134"/>
      </rPr>
      <t>1500</t>
    </r>
    <r>
      <rPr>
        <i/>
        <strike/>
        <sz val="11"/>
        <color theme="1"/>
        <rFont val="Tahoma"/>
        <charset val="134"/>
      </rPr>
      <t xml:space="preserve">  1600</t>
    </r>
    <r>
      <rPr>
        <strike/>
        <sz val="11"/>
        <color theme="1"/>
        <rFont val="Tahoma"/>
        <charset val="134"/>
      </rPr>
      <t xml:space="preserve"> </t>
    </r>
    <r>
      <rPr>
        <strike/>
        <sz val="11"/>
        <color rgb="FF00B050"/>
        <rFont val="Tahoma"/>
        <charset val="134"/>
      </rPr>
      <t xml:space="preserve">1800 </t>
    </r>
    <r>
      <rPr>
        <i/>
        <strike/>
        <sz val="11"/>
        <color rgb="FF00B050"/>
        <rFont val="Tahoma"/>
        <charset val="134"/>
      </rPr>
      <t>2000</t>
    </r>
    <r>
      <rPr>
        <strike/>
        <sz val="11"/>
        <color theme="1"/>
        <rFont val="Tahoma"/>
        <charset val="134"/>
      </rPr>
      <t xml:space="preserve"> 2240 2500</t>
    </r>
  </si>
  <si>
    <r>
      <rPr>
        <sz val="11"/>
        <color theme="1"/>
        <rFont val="宋体"/>
        <charset val="134"/>
      </rPr>
      <t>表</t>
    </r>
    <r>
      <rPr>
        <sz val="11"/>
        <color theme="1"/>
        <rFont val="Tahoma"/>
        <charset val="134"/>
      </rPr>
      <t>4 V</t>
    </r>
    <r>
      <rPr>
        <sz val="11"/>
        <color theme="1"/>
        <rFont val="宋体"/>
        <charset val="134"/>
      </rPr>
      <t>带的基准长度</t>
    </r>
    <r>
      <rPr>
        <sz val="11"/>
        <color theme="1"/>
        <rFont val="Tahoma"/>
        <charset val="134"/>
      </rPr>
      <t>Ld</t>
    </r>
    <r>
      <rPr>
        <sz val="11"/>
        <color theme="1"/>
        <rFont val="宋体"/>
        <charset val="134"/>
      </rPr>
      <t>及长度系数</t>
    </r>
    <r>
      <rPr>
        <sz val="11"/>
        <color theme="1"/>
        <rFont val="Tahoma"/>
        <charset val="134"/>
      </rPr>
      <t>KL</t>
    </r>
  </si>
  <si>
    <r>
      <rPr>
        <sz val="11"/>
        <color theme="1"/>
        <rFont val="宋体"/>
        <charset val="134"/>
      </rPr>
      <t>表</t>
    </r>
    <r>
      <rPr>
        <sz val="11"/>
        <color theme="1"/>
        <rFont val="Tahoma"/>
        <charset val="134"/>
      </rPr>
      <t xml:space="preserve">5 </t>
    </r>
    <r>
      <rPr>
        <sz val="11"/>
        <color theme="1"/>
        <rFont val="宋体"/>
        <charset val="134"/>
      </rPr>
      <t>单根</t>
    </r>
    <r>
      <rPr>
        <sz val="11"/>
        <color theme="1"/>
        <rFont val="Tahoma"/>
        <charset val="134"/>
      </rPr>
      <t>V</t>
    </r>
    <r>
      <rPr>
        <sz val="11"/>
        <color theme="1"/>
        <rFont val="宋体"/>
        <charset val="134"/>
      </rPr>
      <t>带额定功率</t>
    </r>
    <r>
      <rPr>
        <sz val="11"/>
        <color theme="1"/>
        <rFont val="Tahoma"/>
        <charset val="134"/>
      </rPr>
      <t>P0</t>
    </r>
  </si>
  <si>
    <t>带型</t>
  </si>
  <si>
    <t>小带轮基准D1(mm)</t>
  </si>
  <si>
    <t>小带轮转速n1(r/min)</t>
  </si>
  <si>
    <t>Z型</t>
  </si>
  <si>
    <t>SPZ型</t>
  </si>
  <si>
    <t>A型</t>
  </si>
  <si>
    <t>SPA型</t>
  </si>
  <si>
    <t>B型</t>
  </si>
  <si>
    <t>SPB型</t>
  </si>
  <si>
    <t>C型</t>
  </si>
  <si>
    <t>SPC型</t>
  </si>
  <si>
    <t xml:space="preserve">文档信息
编写：煜宸
参考：《机械设计——第八版》——蒲良贵、纪名刚
      《机械设计手册——第五版第三卷》——成大先
                                           2018.8.3
</t>
  </si>
  <si>
    <t xml:space="preserve">- </t>
  </si>
  <si>
    <r>
      <rPr>
        <sz val="11"/>
        <color theme="1"/>
        <rFont val="宋体"/>
        <charset val="134"/>
      </rPr>
      <t>表</t>
    </r>
    <r>
      <rPr>
        <sz val="11"/>
        <color theme="1"/>
        <rFont val="Tahoma"/>
        <charset val="134"/>
      </rPr>
      <t xml:space="preserve">6 </t>
    </r>
    <r>
      <rPr>
        <sz val="11"/>
        <color theme="1"/>
        <rFont val="宋体"/>
        <charset val="134"/>
      </rPr>
      <t>单根</t>
    </r>
    <r>
      <rPr>
        <sz val="11"/>
        <color theme="1"/>
        <rFont val="Tahoma"/>
        <charset val="134"/>
      </rPr>
      <t>V</t>
    </r>
    <r>
      <rPr>
        <sz val="11"/>
        <color theme="1"/>
        <rFont val="宋体"/>
        <charset val="134"/>
      </rPr>
      <t>带额定功率增量△</t>
    </r>
    <r>
      <rPr>
        <sz val="11"/>
        <color theme="1"/>
        <rFont val="Tahoma"/>
        <charset val="134"/>
      </rPr>
      <t>P0</t>
    </r>
  </si>
  <si>
    <r>
      <rPr>
        <sz val="12"/>
        <color theme="1"/>
        <rFont val="宋体"/>
        <charset val="134"/>
      </rPr>
      <t>小轮转速</t>
    </r>
    <r>
      <rPr>
        <sz val="12"/>
        <color theme="1"/>
        <rFont val="Times New Roman"/>
        <charset val="134"/>
      </rPr>
      <t xml:space="preserve"> </t>
    </r>
    <r>
      <rPr>
        <i/>
        <sz val="12"/>
        <color theme="1"/>
        <rFont val="Times New Roman"/>
        <charset val="134"/>
      </rPr>
      <t>n</t>
    </r>
    <r>
      <rPr>
        <vertAlign val="subscript"/>
        <sz val="12"/>
        <color theme="1"/>
        <rFont val="Times New Roman"/>
        <charset val="134"/>
      </rPr>
      <t>1</t>
    </r>
    <r>
      <rPr>
        <sz val="12"/>
        <color theme="1"/>
        <rFont val="Times New Roman"/>
        <charset val="134"/>
      </rPr>
      <t xml:space="preserve"> (r/min)</t>
    </r>
  </si>
  <si>
    <r>
      <rPr>
        <sz val="12"/>
        <color theme="1"/>
        <rFont val="宋体"/>
        <charset val="134"/>
      </rPr>
      <t>传</t>
    </r>
    <r>
      <rPr>
        <sz val="12"/>
        <color theme="1"/>
        <rFont val="Times New Roman"/>
        <charset val="134"/>
      </rPr>
      <t xml:space="preserve">  </t>
    </r>
    <r>
      <rPr>
        <sz val="12"/>
        <color theme="1"/>
        <rFont val="宋体"/>
        <charset val="134"/>
      </rPr>
      <t>动</t>
    </r>
    <r>
      <rPr>
        <sz val="12"/>
        <color theme="1"/>
        <rFont val="Times New Roman"/>
        <charset val="134"/>
      </rPr>
      <t xml:space="preserve">  </t>
    </r>
    <r>
      <rPr>
        <sz val="12"/>
        <color theme="1"/>
        <rFont val="宋体"/>
        <charset val="134"/>
      </rPr>
      <t>比</t>
    </r>
    <r>
      <rPr>
        <sz val="12"/>
        <color theme="1"/>
        <rFont val="Times New Roman"/>
        <charset val="134"/>
      </rPr>
      <t xml:space="preserve">  </t>
    </r>
    <r>
      <rPr>
        <i/>
        <sz val="12"/>
        <color theme="1"/>
        <rFont val="Times New Roman"/>
        <charset val="134"/>
      </rPr>
      <t>i</t>
    </r>
  </si>
  <si>
    <t>1~1.01</t>
  </si>
  <si>
    <t>1.02~1.04</t>
  </si>
  <si>
    <t>1.05~1.08</t>
  </si>
  <si>
    <t>1.09~1.12</t>
  </si>
  <si>
    <t>1.13~1.18</t>
  </si>
  <si>
    <t>1.19~1.24</t>
  </si>
  <si>
    <t>1.25~1.34</t>
  </si>
  <si>
    <t>1.35~1.51</t>
  </si>
  <si>
    <t>1.52~1.55</t>
  </si>
  <si>
    <r>
      <rPr>
        <sz val="11"/>
        <color theme="1"/>
        <rFont val="Symbol"/>
        <charset val="2"/>
      </rPr>
      <t>³</t>
    </r>
    <r>
      <rPr>
        <sz val="11"/>
        <color theme="1"/>
        <rFont val="Times New Roman"/>
        <charset val="134"/>
      </rPr>
      <t>2.0</t>
    </r>
  </si>
  <si>
    <r>
      <rPr>
        <sz val="11"/>
        <color theme="1"/>
        <rFont val="宋体"/>
        <charset val="134"/>
      </rPr>
      <t>表</t>
    </r>
    <r>
      <rPr>
        <sz val="11"/>
        <color theme="1"/>
        <rFont val="Tahoma"/>
        <charset val="134"/>
      </rPr>
      <t xml:space="preserve">7 </t>
    </r>
    <r>
      <rPr>
        <sz val="11"/>
        <color theme="1"/>
        <rFont val="宋体"/>
        <charset val="134"/>
      </rPr>
      <t>包角修正系数</t>
    </r>
    <r>
      <rPr>
        <sz val="11"/>
        <color theme="1"/>
        <rFont val="Tahoma"/>
        <charset val="134"/>
      </rPr>
      <t>Kα</t>
    </r>
  </si>
  <si>
    <t>小轮包角α(°)</t>
  </si>
  <si>
    <t>Kα</t>
  </si>
  <si>
    <r>
      <rPr>
        <sz val="11"/>
        <color theme="1"/>
        <rFont val="宋体"/>
        <charset val="134"/>
      </rPr>
      <t>已知条件：传递功率</t>
    </r>
    <r>
      <rPr>
        <sz val="11"/>
        <color theme="1"/>
        <rFont val="Tahoma"/>
        <charset val="134"/>
      </rPr>
      <t>P</t>
    </r>
    <r>
      <rPr>
        <sz val="11"/>
        <color theme="1"/>
        <rFont val="宋体"/>
        <charset val="134"/>
      </rPr>
      <t>，主动轮转速</t>
    </r>
    <r>
      <rPr>
        <sz val="11"/>
        <color theme="1"/>
        <rFont val="Tahoma"/>
        <charset val="134"/>
      </rPr>
      <t>n1</t>
    </r>
    <r>
      <rPr>
        <sz val="11"/>
        <color theme="1"/>
        <rFont val="宋体"/>
        <charset val="134"/>
      </rPr>
      <t>，从动轮转速</t>
    </r>
    <r>
      <rPr>
        <sz val="11"/>
        <color theme="1"/>
        <rFont val="Tahoma"/>
        <charset val="134"/>
      </rPr>
      <t>n2</t>
    </r>
    <r>
      <rPr>
        <sz val="11"/>
        <color theme="1"/>
        <rFont val="宋体"/>
        <charset val="134"/>
      </rPr>
      <t>或传动比</t>
    </r>
    <r>
      <rPr>
        <sz val="11"/>
        <color theme="1"/>
        <rFont val="Tahoma"/>
        <charset val="134"/>
      </rPr>
      <t>i</t>
    </r>
    <r>
      <rPr>
        <sz val="11"/>
        <color theme="1"/>
        <rFont val="宋体"/>
        <charset val="134"/>
      </rPr>
      <t>，中心距</t>
    </r>
    <r>
      <rPr>
        <sz val="11"/>
        <color theme="1"/>
        <rFont val="Tahoma"/>
        <charset val="134"/>
      </rPr>
      <t>a</t>
    </r>
  </si>
  <si>
    <t>MXL</t>
  </si>
  <si>
    <r>
      <rPr>
        <sz val="11"/>
        <color theme="1"/>
        <rFont val="宋体"/>
        <charset val="134"/>
      </rPr>
      <t>注</t>
    </r>
    <r>
      <rPr>
        <sz val="11"/>
        <color theme="1"/>
        <rFont val="Tahoma"/>
        <charset val="134"/>
      </rPr>
      <t xml:space="preserve"> 1)</t>
    </r>
    <r>
      <rPr>
        <sz val="11"/>
        <color theme="1"/>
        <rFont val="宋体"/>
        <charset val="134"/>
      </rPr>
      <t>反复启动、正反转频繁、严重冲击时，</t>
    </r>
    <r>
      <rPr>
        <sz val="11"/>
        <color theme="1"/>
        <rFont val="Tahoma"/>
        <charset val="134"/>
      </rPr>
      <t>KA</t>
    </r>
    <r>
      <rPr>
        <sz val="11"/>
        <color theme="1"/>
        <rFont val="宋体"/>
        <charset val="134"/>
      </rPr>
      <t>需</t>
    </r>
    <r>
      <rPr>
        <sz val="11"/>
        <color theme="1"/>
        <rFont val="Tahoma"/>
        <charset val="134"/>
      </rPr>
      <t>x1.2</t>
    </r>
    <r>
      <rPr>
        <sz val="11"/>
        <color theme="1"/>
        <rFont val="宋体"/>
        <charset val="134"/>
      </rPr>
      <t>；</t>
    </r>
  </si>
  <si>
    <t>XXL</t>
  </si>
  <si>
    <r>
      <rPr>
        <sz val="11"/>
        <color theme="1"/>
        <rFont val="Tahoma"/>
        <charset val="134"/>
      </rPr>
      <t xml:space="preserve">    2</t>
    </r>
    <r>
      <rPr>
        <sz val="11"/>
        <color theme="1"/>
        <rFont val="宋体"/>
        <charset val="134"/>
      </rPr>
      <t>）增速时需要加上下系数</t>
    </r>
  </si>
  <si>
    <t>XL</t>
  </si>
  <si>
    <t>3~5</t>
  </si>
  <si>
    <t>8~10</t>
  </si>
  <si>
    <t>16~24</t>
  </si>
  <si>
    <t>L</t>
  </si>
  <si>
    <r>
      <rPr>
        <sz val="11"/>
        <color theme="1"/>
        <rFont val="宋体"/>
        <charset val="134"/>
      </rPr>
      <t>中心距</t>
    </r>
    <r>
      <rPr>
        <sz val="11"/>
        <color theme="1"/>
        <rFont val="Tahoma"/>
        <charset val="134"/>
      </rPr>
      <t>a(mm)</t>
    </r>
  </si>
  <si>
    <t>复印机、配油装置、测试仪表、放映机、医疗仪器</t>
  </si>
  <si>
    <t>H</t>
  </si>
  <si>
    <t>XH</t>
  </si>
  <si>
    <t>清扫机、缝纫机、办公机械</t>
  </si>
  <si>
    <t>XXH</t>
  </si>
  <si>
    <r>
      <rPr>
        <sz val="11"/>
        <color theme="1"/>
        <rFont val="Tahoma"/>
        <charset val="134"/>
      </rPr>
      <t>2</t>
    </r>
    <r>
      <rPr>
        <sz val="11"/>
        <color theme="1"/>
        <rFont val="宋体"/>
        <charset val="134"/>
      </rPr>
      <t xml:space="preserve">，确定带型和节
</t>
    </r>
    <r>
      <rPr>
        <sz val="11"/>
        <color theme="1"/>
        <rFont val="Tahoma"/>
        <charset val="134"/>
      </rPr>
      <t xml:space="preserve">    </t>
    </r>
    <r>
      <rPr>
        <sz val="11"/>
        <color theme="1"/>
        <rFont val="宋体"/>
        <charset val="134"/>
      </rPr>
      <t>距</t>
    </r>
    <r>
      <rPr>
        <sz val="11"/>
        <color theme="1"/>
        <rFont val="Tahoma"/>
        <charset val="134"/>
      </rPr>
      <t>Pb</t>
    </r>
  </si>
  <si>
    <t>带式输送机、轻型包装机、烘干箱、筛选机、绕线机、木工机械、带锯、圆锥成型</t>
  </si>
  <si>
    <r>
      <rPr>
        <sz val="11"/>
        <color theme="1"/>
        <rFont val="宋体"/>
        <charset val="134"/>
      </rPr>
      <t>节距</t>
    </r>
    <r>
      <rPr>
        <sz val="11"/>
        <color theme="1"/>
        <rFont val="Tahoma"/>
        <charset val="134"/>
      </rPr>
      <t>Pb</t>
    </r>
  </si>
  <si>
    <r>
      <rPr>
        <sz val="11"/>
        <color theme="1"/>
        <rFont val="Tahoma"/>
        <charset val="134"/>
      </rPr>
      <t>3</t>
    </r>
    <r>
      <rPr>
        <sz val="11"/>
        <color theme="1"/>
        <rFont val="宋体"/>
        <charset val="134"/>
      </rPr>
      <t>，确定带轮齿数</t>
    </r>
    <r>
      <rPr>
        <sz val="11"/>
        <color theme="1"/>
        <rFont val="Tahoma"/>
        <charset val="134"/>
      </rPr>
      <t xml:space="preserve"> 
    Z1</t>
    </r>
    <r>
      <rPr>
        <sz val="11"/>
        <color theme="1"/>
        <rFont val="宋体"/>
        <charset val="134"/>
      </rPr>
      <t>、</t>
    </r>
    <r>
      <rPr>
        <sz val="11"/>
        <color theme="1"/>
        <rFont val="Tahoma"/>
        <charset val="134"/>
      </rPr>
      <t>Z2</t>
    </r>
    <r>
      <rPr>
        <sz val="11"/>
        <color theme="1"/>
        <rFont val="宋体"/>
        <charset val="134"/>
      </rPr>
      <t>与节圆</t>
    </r>
    <r>
      <rPr>
        <sz val="11"/>
        <color theme="1"/>
        <rFont val="Tahoma"/>
        <charset val="134"/>
      </rPr>
      <t xml:space="preserve"> 
    </t>
    </r>
    <r>
      <rPr>
        <sz val="11"/>
        <color theme="1"/>
        <rFont val="宋体"/>
        <charset val="134"/>
      </rPr>
      <t>直径</t>
    </r>
    <r>
      <rPr>
        <sz val="11"/>
        <color theme="1"/>
        <rFont val="Tahoma"/>
        <charset val="134"/>
      </rPr>
      <t>d1</t>
    </r>
    <r>
      <rPr>
        <sz val="11"/>
        <color theme="1"/>
        <rFont val="宋体"/>
        <charset val="134"/>
      </rPr>
      <t>、</t>
    </r>
    <r>
      <rPr>
        <sz val="11"/>
        <color theme="1"/>
        <rFont val="Tahoma"/>
        <charset val="134"/>
      </rPr>
      <t>d2</t>
    </r>
  </si>
  <si>
    <t>小带轮齿数Z1</t>
  </si>
  <si>
    <t>液体搅拌机、混面机、钻床、车床、螺纹加工机、印刷机、龙门刨床</t>
  </si>
  <si>
    <r>
      <rPr>
        <sz val="11"/>
        <color theme="1"/>
        <rFont val="宋体"/>
        <charset val="134"/>
      </rPr>
      <t>大带轮计算齿数</t>
    </r>
    <r>
      <rPr>
        <sz val="11"/>
        <color theme="1"/>
        <rFont val="Tahoma"/>
        <charset val="134"/>
      </rPr>
      <t>Z2’</t>
    </r>
  </si>
  <si>
    <r>
      <rPr>
        <sz val="11"/>
        <color theme="1"/>
        <rFont val="宋体"/>
        <charset val="134"/>
      </rPr>
      <t>大带轮齿数圆整</t>
    </r>
    <r>
      <rPr>
        <sz val="11"/>
        <color theme="1"/>
        <rFont val="Tahoma"/>
        <charset val="134"/>
      </rPr>
      <t>Z2</t>
    </r>
  </si>
  <si>
    <t>液体搅拌机、带式输送机、镗床、磨床、铣床、齿轮泵、纺织机械、离心压缩泵</t>
  </si>
  <si>
    <r>
      <rPr>
        <sz val="11"/>
        <color theme="1"/>
        <rFont val="宋体"/>
        <charset val="134"/>
      </rPr>
      <t>小带轮节圆</t>
    </r>
    <r>
      <rPr>
        <sz val="11"/>
        <color theme="1"/>
        <rFont val="Tahoma"/>
        <charset val="134"/>
      </rPr>
      <t>d1</t>
    </r>
  </si>
  <si>
    <t>Z*Pb/π</t>
  </si>
  <si>
    <r>
      <rPr>
        <sz val="11"/>
        <color theme="1"/>
        <rFont val="宋体"/>
        <charset val="134"/>
      </rPr>
      <t>大带轮节圆</t>
    </r>
    <r>
      <rPr>
        <sz val="11"/>
        <color theme="1"/>
        <rFont val="Tahoma"/>
        <charset val="134"/>
      </rPr>
      <t>d2</t>
    </r>
  </si>
  <si>
    <t>升降机、脱水机、清洗机、发电机、排风机、起重机、励磁机、锯木机、纺织机械</t>
  </si>
  <si>
    <r>
      <rPr>
        <sz val="11"/>
        <color theme="1"/>
        <rFont val="Tahoma"/>
        <charset val="134"/>
      </rPr>
      <t>4</t>
    </r>
    <r>
      <rPr>
        <sz val="11"/>
        <color theme="1"/>
        <rFont val="宋体"/>
        <charset val="134"/>
      </rPr>
      <t>，验证带速</t>
    </r>
    <r>
      <rPr>
        <sz val="11"/>
        <color theme="1"/>
        <rFont val="Tahoma"/>
        <charset val="134"/>
      </rPr>
      <t>v</t>
    </r>
  </si>
  <si>
    <t>带速V</t>
  </si>
  <si>
    <r>
      <rPr>
        <sz val="11"/>
        <color theme="1"/>
        <rFont val="宋体"/>
        <charset val="134"/>
      </rPr>
      <t>允许最大速度</t>
    </r>
    <r>
      <rPr>
        <sz val="11"/>
        <color theme="1"/>
        <rFont val="Tahoma"/>
        <charset val="134"/>
      </rPr>
      <t>Vmax</t>
    </r>
  </si>
  <si>
    <t>参考表2</t>
  </si>
  <si>
    <t>离心机、刮板输送机、螺旋输送机、锤击式粉碎机、造纸制浆机</t>
  </si>
  <si>
    <r>
      <rPr>
        <sz val="11"/>
        <color theme="1"/>
        <rFont val="Tahoma"/>
        <charset val="134"/>
      </rPr>
      <t>5</t>
    </r>
    <r>
      <rPr>
        <sz val="11"/>
        <color theme="1"/>
        <rFont val="宋体"/>
        <charset val="134"/>
      </rPr>
      <t>，确定带长</t>
    </r>
  </si>
  <si>
    <r>
      <rPr>
        <sz val="11"/>
        <color theme="1"/>
        <rFont val="宋体"/>
        <charset val="134"/>
      </rPr>
      <t>计算基线长度</t>
    </r>
    <r>
      <rPr>
        <sz val="11"/>
        <color theme="1"/>
        <rFont val="Tahoma"/>
        <charset val="134"/>
      </rPr>
      <t>Ld0</t>
    </r>
  </si>
  <si>
    <t>粘土搅拌机、矿山用风扇、鼓风机、强制送风机</t>
  </si>
  <si>
    <t>同步带齿数Z</t>
  </si>
  <si>
    <t>网付式压缩机机、往复式泵、球磨机、棒磨机</t>
  </si>
  <si>
    <r>
      <rPr>
        <sz val="11"/>
        <color theme="1"/>
        <rFont val="Tahoma"/>
        <charset val="134"/>
      </rPr>
      <t>6</t>
    </r>
    <r>
      <rPr>
        <sz val="11"/>
        <color theme="1"/>
        <rFont val="宋体"/>
        <charset val="134"/>
      </rPr>
      <t>，计算中心距</t>
    </r>
    <r>
      <rPr>
        <sz val="11"/>
        <color theme="1"/>
        <rFont val="Tahoma"/>
        <charset val="134"/>
      </rPr>
      <t>a</t>
    </r>
  </si>
  <si>
    <t>M(mm)</t>
  </si>
  <si>
    <t>2Lp-(Z1+Z2)Pb</t>
  </si>
  <si>
    <t>中心距a(mm)</t>
  </si>
  <si>
    <r>
      <rPr>
        <sz val="11"/>
        <color rgb="FF0070C0"/>
        <rFont val="Tahoma"/>
        <charset val="134"/>
      </rPr>
      <t>{M+[M</t>
    </r>
    <r>
      <rPr>
        <vertAlign val="superscript"/>
        <sz val="12"/>
        <color rgb="FF0070C0"/>
        <rFont val="Tahoma"/>
        <charset val="134"/>
      </rPr>
      <t>2</t>
    </r>
    <r>
      <rPr>
        <sz val="11"/>
        <color rgb="FF0070C0"/>
        <rFont val="Tahoma"/>
        <charset val="134"/>
      </rPr>
      <t>-8(d2-d1)</t>
    </r>
    <r>
      <rPr>
        <vertAlign val="superscript"/>
        <sz val="12"/>
        <color rgb="FF0070C0"/>
        <rFont val="Tahoma"/>
        <charset val="134"/>
      </rPr>
      <t>2</t>
    </r>
    <r>
      <rPr>
        <sz val="11"/>
        <color rgb="FF0070C0"/>
        <rFont val="Tahoma"/>
        <charset val="134"/>
      </rPr>
      <t>]</t>
    </r>
    <r>
      <rPr>
        <vertAlign val="superscript"/>
        <sz val="12"/>
        <color rgb="FF0070C0"/>
        <rFont val="Tahoma"/>
        <charset val="134"/>
      </rPr>
      <t>1/2</t>
    </r>
    <r>
      <rPr>
        <sz val="11"/>
        <color rgb="FF0070C0"/>
        <rFont val="Tahoma"/>
        <charset val="134"/>
      </rPr>
      <t>}/8</t>
    </r>
  </si>
  <si>
    <r>
      <rPr>
        <sz val="11"/>
        <color theme="1"/>
        <rFont val="Tahoma"/>
        <charset val="134"/>
      </rPr>
      <t>7</t>
    </r>
    <r>
      <rPr>
        <sz val="11"/>
        <color theme="1"/>
        <rFont val="宋体"/>
        <charset val="134"/>
      </rPr>
      <t>，确定带宽</t>
    </r>
    <r>
      <rPr>
        <sz val="11"/>
        <color theme="1"/>
        <rFont val="Tahoma"/>
        <charset val="134"/>
      </rPr>
      <t xml:space="preserve">        </t>
    </r>
  </si>
  <si>
    <t>小带轮啮合齿数Zm</t>
  </si>
  <si>
    <r>
      <rPr>
        <sz val="11"/>
        <color theme="1"/>
        <rFont val="宋体"/>
        <charset val="134"/>
      </rPr>
      <t>表</t>
    </r>
    <r>
      <rPr>
        <sz val="11"/>
        <color theme="1"/>
        <rFont val="Tahoma"/>
        <charset val="134"/>
      </rPr>
      <t xml:space="preserve">2 </t>
    </r>
    <r>
      <rPr>
        <sz val="11"/>
        <color theme="1"/>
        <rFont val="宋体"/>
        <charset val="134"/>
      </rPr>
      <t>梯形同步带选型、节距</t>
    </r>
    <r>
      <rPr>
        <sz val="11"/>
        <color theme="1"/>
        <rFont val="Tahoma"/>
        <charset val="134"/>
      </rPr>
      <t>Pb</t>
    </r>
    <r>
      <rPr>
        <sz val="11"/>
        <color theme="1"/>
        <rFont val="宋体"/>
        <charset val="134"/>
      </rPr>
      <t>、允许最大速度</t>
    </r>
    <r>
      <rPr>
        <sz val="11"/>
        <color theme="1"/>
        <rFont val="Tahoma"/>
        <charset val="134"/>
      </rPr>
      <t>Vmax</t>
    </r>
  </si>
  <si>
    <r>
      <rPr>
        <sz val="11"/>
        <color theme="1"/>
        <rFont val="宋体"/>
        <charset val="134"/>
      </rPr>
      <t>啮合齿数系数</t>
    </r>
    <r>
      <rPr>
        <sz val="11"/>
        <color theme="1"/>
        <rFont val="Tahoma"/>
        <charset val="134"/>
      </rPr>
      <t>Kz</t>
    </r>
  </si>
  <si>
    <t>型号</t>
  </si>
  <si>
    <t>基准额定功率P0</t>
  </si>
  <si>
    <r>
      <rPr>
        <sz val="11"/>
        <color rgb="FF0070C0"/>
        <rFont val="宋体"/>
        <charset val="134"/>
      </rPr>
      <t>表</t>
    </r>
    <r>
      <rPr>
        <sz val="11"/>
        <color rgb="FF0070C0"/>
        <rFont val="Tahoma"/>
        <charset val="134"/>
      </rPr>
      <t>5</t>
    </r>
  </si>
  <si>
    <t>节距Pb</t>
  </si>
  <si>
    <t>基准宽度bs0</t>
  </si>
  <si>
    <t>Vmax</t>
  </si>
  <si>
    <t>40~50</t>
  </si>
  <si>
    <t>35~40</t>
  </si>
  <si>
    <t>25~30</t>
  </si>
  <si>
    <r>
      <rPr>
        <sz val="11"/>
        <color theme="1"/>
        <rFont val="宋体"/>
        <charset val="134"/>
      </rPr>
      <t>所需最小带宽</t>
    </r>
    <r>
      <rPr>
        <sz val="11"/>
        <color theme="1"/>
        <rFont val="Tahoma"/>
        <charset val="134"/>
      </rPr>
      <t>bs'</t>
    </r>
  </si>
  <si>
    <r>
      <rPr>
        <sz val="11"/>
        <color theme="1"/>
        <rFont val="宋体"/>
        <charset val="134"/>
      </rPr>
      <t>表</t>
    </r>
    <r>
      <rPr>
        <sz val="11"/>
        <color theme="1"/>
        <rFont val="Tahoma"/>
        <charset val="134"/>
      </rPr>
      <t>2</t>
    </r>
    <r>
      <rPr>
        <sz val="11"/>
        <color theme="1"/>
        <rFont val="宋体"/>
        <charset val="134"/>
      </rPr>
      <t>附</t>
    </r>
    <r>
      <rPr>
        <sz val="11"/>
        <color theme="1"/>
        <rFont val="Tahoma"/>
        <charset val="134"/>
      </rPr>
      <t>1 T</t>
    </r>
    <r>
      <rPr>
        <sz val="11"/>
        <color theme="1"/>
        <rFont val="宋体"/>
        <charset val="134"/>
      </rPr>
      <t>型齿带选型图</t>
    </r>
  </si>
  <si>
    <r>
      <rPr>
        <sz val="11"/>
        <color theme="1"/>
        <rFont val="宋体"/>
        <charset val="134"/>
      </rPr>
      <t>表</t>
    </r>
    <r>
      <rPr>
        <sz val="11"/>
        <color theme="1"/>
        <rFont val="Tahoma"/>
        <charset val="134"/>
      </rPr>
      <t>2</t>
    </r>
    <r>
      <rPr>
        <sz val="11"/>
        <color theme="1"/>
        <rFont val="宋体"/>
        <charset val="134"/>
      </rPr>
      <t>附</t>
    </r>
    <r>
      <rPr>
        <sz val="11"/>
        <color theme="1"/>
        <rFont val="Tahoma"/>
        <charset val="134"/>
      </rPr>
      <t xml:space="preserve">2 </t>
    </r>
    <r>
      <rPr>
        <sz val="11"/>
        <color theme="1"/>
        <rFont val="宋体"/>
        <charset val="134"/>
      </rPr>
      <t>圆弧齿带选型图</t>
    </r>
  </si>
  <si>
    <t>选择带宽bs</t>
  </si>
  <si>
    <r>
      <rPr>
        <sz val="11"/>
        <color theme="1"/>
        <rFont val="宋体"/>
        <charset val="134"/>
      </rPr>
      <t>表</t>
    </r>
    <r>
      <rPr>
        <sz val="11"/>
        <color theme="1"/>
        <rFont val="Tahoma"/>
        <charset val="134"/>
      </rPr>
      <t>6</t>
    </r>
  </si>
  <si>
    <t>同步带型号</t>
  </si>
  <si>
    <t>长度代号 带型 宽度代号</t>
  </si>
  <si>
    <r>
      <rPr>
        <b/>
        <sz val="11"/>
        <color rgb="FFFF0000"/>
        <rFont val="宋体"/>
        <charset val="134"/>
      </rPr>
      <t>150</t>
    </r>
    <r>
      <rPr>
        <b/>
        <sz val="11"/>
        <color theme="1"/>
        <rFont val="宋体"/>
        <charset val="134"/>
      </rPr>
      <t>L</t>
    </r>
    <r>
      <rPr>
        <b/>
        <sz val="11"/>
        <color rgb="FFFF0000"/>
        <rFont val="宋体"/>
        <charset val="134"/>
      </rPr>
      <t>050</t>
    </r>
  </si>
  <si>
    <r>
      <rPr>
        <sz val="11"/>
        <color theme="1"/>
        <rFont val="宋体"/>
        <charset val="134"/>
      </rPr>
      <t>表</t>
    </r>
    <r>
      <rPr>
        <sz val="11"/>
        <color theme="1"/>
        <rFont val="Tahoma"/>
        <charset val="134"/>
      </rPr>
      <t xml:space="preserve">4 </t>
    </r>
    <r>
      <rPr>
        <sz val="11"/>
        <color theme="1"/>
        <rFont val="宋体"/>
        <charset val="134"/>
      </rPr>
      <t>表</t>
    </r>
    <r>
      <rPr>
        <sz val="11"/>
        <color theme="1"/>
        <rFont val="Tahoma"/>
        <charset val="134"/>
      </rPr>
      <t>6</t>
    </r>
  </si>
  <si>
    <r>
      <rPr>
        <sz val="11"/>
        <color theme="1"/>
        <rFont val="宋体"/>
        <charset val="134"/>
      </rPr>
      <t>说明：</t>
    </r>
    <r>
      <rPr>
        <sz val="11"/>
        <color theme="1"/>
        <rFont val="Tahoma"/>
        <charset val="134"/>
      </rPr>
      <t xml:space="preserve"> 
    1</t>
    </r>
    <r>
      <rPr>
        <sz val="11"/>
        <color theme="1"/>
        <rFont val="宋体"/>
        <charset val="134"/>
      </rPr>
      <t>，按齿形分类，同步带可分为梯型和圆弧形</t>
    </r>
    <r>
      <rPr>
        <sz val="11"/>
        <color theme="1"/>
        <rFont val="Tahoma"/>
        <charset val="134"/>
      </rPr>
      <t>(HTD/STD/RPP 2M~20M)</t>
    </r>
    <r>
      <rPr>
        <sz val="11"/>
        <color theme="1"/>
        <rFont val="宋体"/>
        <charset val="134"/>
      </rPr>
      <t xml:space="preserve">，其中梯
</t>
    </r>
    <r>
      <rPr>
        <sz val="11"/>
        <color theme="1"/>
        <rFont val="Tahoma"/>
        <charset val="134"/>
      </rPr>
      <t xml:space="preserve">         </t>
    </r>
    <r>
      <rPr>
        <sz val="11"/>
        <color theme="1"/>
        <rFont val="宋体"/>
        <charset val="134"/>
      </rPr>
      <t>形又可分为周节制</t>
    </r>
    <r>
      <rPr>
        <sz val="11"/>
        <color theme="1"/>
        <rFont val="Tahoma"/>
        <charset val="134"/>
      </rPr>
      <t>(</t>
    </r>
    <r>
      <rPr>
        <sz val="11"/>
        <color theme="1"/>
        <rFont val="宋体"/>
        <charset val="134"/>
      </rPr>
      <t>又称传统梯形带</t>
    </r>
    <r>
      <rPr>
        <sz val="11"/>
        <color theme="1"/>
        <rFont val="Tahoma"/>
        <charset val="134"/>
      </rPr>
      <t>MXH~XXL)</t>
    </r>
    <r>
      <rPr>
        <sz val="11"/>
        <color theme="1"/>
        <rFont val="宋体"/>
        <charset val="134"/>
      </rPr>
      <t>、模数制</t>
    </r>
    <r>
      <rPr>
        <sz val="11"/>
        <color theme="1"/>
        <rFont val="Tahoma"/>
        <charset val="134"/>
      </rPr>
      <t>(m1~m10)</t>
    </r>
    <r>
      <rPr>
        <sz val="11"/>
        <color theme="1"/>
        <rFont val="宋体"/>
        <charset val="134"/>
      </rPr>
      <t xml:space="preserve">、特殊节
</t>
    </r>
    <r>
      <rPr>
        <sz val="11"/>
        <color theme="1"/>
        <rFont val="Tahoma"/>
        <charset val="134"/>
      </rPr>
      <t xml:space="preserve">         </t>
    </r>
    <r>
      <rPr>
        <sz val="11"/>
        <color theme="1"/>
        <rFont val="宋体"/>
        <charset val="134"/>
      </rPr>
      <t>距制</t>
    </r>
    <r>
      <rPr>
        <sz val="11"/>
        <color theme="1"/>
        <rFont val="Tahoma"/>
        <charset val="134"/>
      </rPr>
      <t>(</t>
    </r>
    <r>
      <rPr>
        <sz val="11"/>
        <color theme="1"/>
        <rFont val="宋体"/>
        <charset val="134"/>
      </rPr>
      <t>又称</t>
    </r>
    <r>
      <rPr>
        <sz val="11"/>
        <color theme="1"/>
        <rFont val="Tahoma"/>
        <charset val="134"/>
      </rPr>
      <t>T</t>
    </r>
    <r>
      <rPr>
        <sz val="11"/>
        <color theme="1"/>
        <rFont val="宋体"/>
        <charset val="134"/>
      </rPr>
      <t>型齿，</t>
    </r>
    <r>
      <rPr>
        <sz val="11"/>
        <color theme="1"/>
        <rFont val="Tahoma"/>
        <charset val="134"/>
      </rPr>
      <t>T2.5~T20)</t>
    </r>
    <r>
      <rPr>
        <sz val="11"/>
        <color theme="1"/>
        <rFont val="宋体"/>
        <charset val="134"/>
      </rPr>
      <t>，如果</t>
    </r>
    <r>
      <rPr>
        <sz val="11"/>
        <color rgb="FFFF0000"/>
        <rFont val="宋体"/>
        <charset val="134"/>
      </rPr>
      <t xml:space="preserve">转速快，传输功率不大的，可以选择传
</t>
    </r>
    <r>
      <rPr>
        <sz val="11"/>
        <color rgb="FFFF0000"/>
        <rFont val="Tahoma"/>
        <charset val="134"/>
      </rPr>
      <t xml:space="preserve">         </t>
    </r>
    <r>
      <rPr>
        <sz val="11"/>
        <color rgb="FFFF0000"/>
        <rFont val="宋体"/>
        <charset val="134"/>
      </rPr>
      <t>统梯型齿</t>
    </r>
    <r>
      <rPr>
        <sz val="11"/>
        <color theme="1"/>
        <rFont val="宋体"/>
        <charset val="134"/>
      </rPr>
      <t>，如果</t>
    </r>
    <r>
      <rPr>
        <sz val="11"/>
        <color rgb="FFFF0000"/>
        <rFont val="宋体"/>
        <charset val="134"/>
      </rPr>
      <t>传输功率大，转速不是很快，可以选择圆弧形齿</t>
    </r>
    <r>
      <rPr>
        <sz val="11"/>
        <color theme="1"/>
        <rFont val="宋体"/>
        <charset val="134"/>
      </rPr>
      <t xml:space="preserve">。
</t>
    </r>
    <r>
      <rPr>
        <sz val="11"/>
        <color theme="1"/>
        <rFont val="Tahoma"/>
        <charset val="134"/>
      </rPr>
      <t xml:space="preserve">    2</t>
    </r>
    <r>
      <rPr>
        <sz val="11"/>
        <color theme="1"/>
        <rFont val="宋体"/>
        <charset val="134"/>
      </rPr>
      <t>，按材料分类，同步带可分为橡胶皮带</t>
    </r>
    <r>
      <rPr>
        <sz val="11"/>
        <color theme="1"/>
        <rFont val="Tahoma"/>
        <charset val="134"/>
      </rPr>
      <t>(</t>
    </r>
    <r>
      <rPr>
        <sz val="11"/>
        <color theme="1"/>
        <rFont val="宋体"/>
        <charset val="134"/>
      </rPr>
      <t>最常用</t>
    </r>
    <r>
      <rPr>
        <sz val="11"/>
        <color theme="1"/>
        <rFont val="Tahoma"/>
        <charset val="134"/>
      </rPr>
      <t>)</t>
    </r>
    <r>
      <rPr>
        <sz val="11"/>
        <color theme="1"/>
        <rFont val="宋体"/>
        <charset val="134"/>
      </rPr>
      <t>，聚氨酯皮带（</t>
    </r>
    <r>
      <rPr>
        <sz val="11"/>
        <color theme="1"/>
        <rFont val="Tahoma"/>
        <charset val="134"/>
      </rPr>
      <t>T5</t>
    </r>
    <r>
      <rPr>
        <sz val="11"/>
        <color theme="1"/>
        <rFont val="宋体"/>
        <charset val="134"/>
      </rPr>
      <t>、</t>
    </r>
    <r>
      <rPr>
        <sz val="11"/>
        <color theme="1"/>
        <rFont val="Tahoma"/>
        <charset val="134"/>
      </rPr>
      <t>T10</t>
    </r>
    <r>
      <rPr>
        <sz val="11"/>
        <color theme="1"/>
        <rFont val="宋体"/>
        <charset val="134"/>
      </rPr>
      <t>、</t>
    </r>
    <r>
      <rPr>
        <sz val="11"/>
        <color theme="1"/>
        <rFont val="Tahoma"/>
        <charset val="134"/>
      </rPr>
      <t xml:space="preserve">T80
         </t>
    </r>
    <r>
      <rPr>
        <sz val="11"/>
        <color theme="1"/>
        <rFont val="宋体"/>
        <charset val="134"/>
      </rPr>
      <t xml:space="preserve">等）。聚氨酯皮带作为轻动力传动用具有高精度特点，用于打印机、缝纫机
</t>
    </r>
    <r>
      <rPr>
        <sz val="11"/>
        <color theme="1"/>
        <rFont val="Tahoma"/>
        <charset val="134"/>
      </rPr>
      <t xml:space="preserve">         </t>
    </r>
    <r>
      <rPr>
        <sz val="11"/>
        <color theme="1"/>
        <rFont val="宋体"/>
        <charset val="134"/>
      </rPr>
      <t>纺织机、</t>
    </r>
    <r>
      <rPr>
        <sz val="11"/>
        <color theme="1"/>
        <rFont val="Tahoma"/>
        <charset val="134"/>
      </rPr>
      <t>NC</t>
    </r>
    <r>
      <rPr>
        <sz val="11"/>
        <color theme="1"/>
        <rFont val="宋体"/>
        <charset val="134"/>
      </rPr>
      <t xml:space="preserve">车床等。
</t>
    </r>
    <r>
      <rPr>
        <sz val="11"/>
        <color theme="1"/>
        <rFont val="Tahoma"/>
        <charset val="134"/>
      </rPr>
      <t xml:space="preserve">    3</t>
    </r>
    <r>
      <rPr>
        <sz val="11"/>
        <color theme="1"/>
        <rFont val="宋体"/>
        <charset val="134"/>
      </rPr>
      <t>，同步带轮材料的选择：以</t>
    </r>
    <r>
      <rPr>
        <sz val="11"/>
        <color theme="1"/>
        <rFont val="Tahoma"/>
        <charset val="134"/>
      </rPr>
      <t>45#</t>
    </r>
    <r>
      <rPr>
        <sz val="11"/>
        <color theme="1"/>
        <rFont val="宋体"/>
        <charset val="134"/>
      </rPr>
      <t xml:space="preserve">钢、硬质铝合金为最常见，其它还可选用铸铁、
</t>
    </r>
    <r>
      <rPr>
        <sz val="11"/>
        <color theme="1"/>
        <rFont val="Tahoma"/>
        <charset val="134"/>
      </rPr>
      <t xml:space="preserve">         </t>
    </r>
    <r>
      <rPr>
        <sz val="11"/>
        <color theme="1"/>
        <rFont val="宋体"/>
        <charset val="134"/>
      </rPr>
      <t xml:space="preserve">铜、尼龙等其它适合加工的材料
</t>
    </r>
    <r>
      <rPr>
        <sz val="11"/>
        <color theme="1"/>
        <rFont val="Tahoma"/>
        <charset val="134"/>
      </rPr>
      <t xml:space="preserve">    4</t>
    </r>
    <r>
      <rPr>
        <sz val="11"/>
        <color theme="1"/>
        <rFont val="宋体"/>
        <charset val="134"/>
      </rPr>
      <t>，同步带尺寸参数如下图，</t>
    </r>
    <r>
      <rPr>
        <sz val="11"/>
        <color theme="1"/>
        <rFont val="Tahoma"/>
        <charset val="134"/>
      </rPr>
      <t>P</t>
    </r>
    <r>
      <rPr>
        <sz val="11"/>
        <color theme="1"/>
        <rFont val="宋体"/>
        <charset val="134"/>
      </rPr>
      <t>为节距，</t>
    </r>
    <r>
      <rPr>
        <sz val="11"/>
        <color theme="1"/>
        <rFont val="Tahoma"/>
        <charset val="134"/>
      </rPr>
      <t>Dp</t>
    </r>
    <r>
      <rPr>
        <sz val="11"/>
        <color theme="1"/>
        <rFont val="宋体"/>
        <charset val="134"/>
      </rPr>
      <t>为节圆，</t>
    </r>
    <r>
      <rPr>
        <sz val="11"/>
        <color theme="1"/>
        <rFont val="Tahoma"/>
        <charset val="134"/>
      </rPr>
      <t>De</t>
    </r>
    <r>
      <rPr>
        <sz val="11"/>
        <color theme="1"/>
        <rFont val="宋体"/>
        <charset val="134"/>
      </rPr>
      <t>为带轮齿顶圆</t>
    </r>
  </si>
  <si>
    <r>
      <rPr>
        <sz val="11"/>
        <color theme="1"/>
        <rFont val="宋体"/>
        <charset val="134"/>
      </rPr>
      <t>表</t>
    </r>
    <r>
      <rPr>
        <sz val="11"/>
        <color theme="1"/>
        <rFont val="Tahoma"/>
        <charset val="134"/>
      </rPr>
      <t xml:space="preserve">3 </t>
    </r>
    <r>
      <rPr>
        <sz val="11"/>
        <color theme="1"/>
        <rFont val="宋体"/>
        <charset val="134"/>
      </rPr>
      <t>带轮最小齿数</t>
    </r>
  </si>
  <si>
    <r>
      <rPr>
        <sz val="12"/>
        <color theme="1"/>
        <rFont val="宋体"/>
        <charset val="134"/>
      </rPr>
      <t xml:space="preserve">小轮转速
</t>
    </r>
    <r>
      <rPr>
        <sz val="12"/>
        <color theme="1"/>
        <rFont val="Tahoma"/>
        <charset val="134"/>
      </rPr>
      <t>n1</t>
    </r>
    <r>
      <rPr>
        <sz val="12"/>
        <color theme="1"/>
        <rFont val="宋体"/>
        <charset val="134"/>
      </rPr>
      <t>（</t>
    </r>
    <r>
      <rPr>
        <sz val="12"/>
        <color theme="1"/>
        <rFont val="Tahoma"/>
        <charset val="134"/>
      </rPr>
      <t>r/min</t>
    </r>
    <r>
      <rPr>
        <sz val="12"/>
        <color theme="1"/>
        <rFont val="宋体"/>
        <charset val="134"/>
      </rPr>
      <t>）</t>
    </r>
  </si>
  <si>
    <t>带型与最小许用齿数Zmin</t>
  </si>
  <si>
    <r>
      <rPr>
        <sz val="12"/>
        <color theme="1"/>
        <rFont val="宋体"/>
        <charset val="134"/>
      </rPr>
      <t>＜</t>
    </r>
    <r>
      <rPr>
        <sz val="12"/>
        <color theme="1"/>
        <rFont val="Tahoma"/>
        <charset val="134"/>
      </rPr>
      <t>900</t>
    </r>
  </si>
  <si>
    <t>900~1199</t>
  </si>
  <si>
    <t>1200~1799</t>
  </si>
  <si>
    <t>1800~3599</t>
  </si>
  <si>
    <t>3600~4800</t>
  </si>
  <si>
    <r>
      <rPr>
        <sz val="11"/>
        <color theme="1"/>
        <rFont val="宋体"/>
        <charset val="134"/>
      </rPr>
      <t>表</t>
    </r>
    <r>
      <rPr>
        <sz val="11"/>
        <color theme="1"/>
        <rFont val="Tahoma"/>
        <charset val="134"/>
      </rPr>
      <t xml:space="preserve">4 </t>
    </r>
    <r>
      <rPr>
        <sz val="11"/>
        <color theme="1"/>
        <rFont val="宋体"/>
        <charset val="134"/>
      </rPr>
      <t>下表为某厂家</t>
    </r>
    <r>
      <rPr>
        <sz val="11"/>
        <color theme="1"/>
        <rFont val="Tahoma"/>
        <charset val="134"/>
      </rPr>
      <t>L</t>
    </r>
    <r>
      <rPr>
        <sz val="11"/>
        <color theme="1"/>
        <rFont val="宋体"/>
        <charset val="134"/>
      </rPr>
      <t>型同步带规格，比国标多很多</t>
    </r>
  </si>
  <si>
    <r>
      <rPr>
        <sz val="11"/>
        <color theme="1"/>
        <rFont val="宋体"/>
        <charset val="134"/>
      </rPr>
      <t>表</t>
    </r>
    <r>
      <rPr>
        <sz val="11"/>
        <color theme="1"/>
        <rFont val="Tahoma"/>
        <charset val="134"/>
      </rPr>
      <t>4</t>
    </r>
    <r>
      <rPr>
        <sz val="11"/>
        <color theme="1"/>
        <rFont val="宋体"/>
        <charset val="134"/>
      </rPr>
      <t>附</t>
    </r>
    <r>
      <rPr>
        <sz val="11"/>
        <color theme="1"/>
        <rFont val="Tahoma"/>
        <charset val="134"/>
      </rPr>
      <t xml:space="preserve">  </t>
    </r>
    <r>
      <rPr>
        <sz val="11"/>
        <color theme="1"/>
        <rFont val="宋体"/>
        <charset val="134"/>
      </rPr>
      <t>国标同步带规格</t>
    </r>
  </si>
  <si>
    <t xml:space="preserve">文档信息
编写：煜宸
参考：《机械设计——第八版》——蒲良贵、纪名刚
      《机械设计手册——第五版第三卷》——成大先
                                           2018.8.5
</t>
  </si>
  <si>
    <r>
      <rPr>
        <sz val="11"/>
        <color theme="1"/>
        <rFont val="宋体"/>
        <charset val="134"/>
      </rPr>
      <t>表</t>
    </r>
    <r>
      <rPr>
        <sz val="11"/>
        <color theme="1"/>
        <rFont val="Tahoma"/>
        <charset val="134"/>
      </rPr>
      <t>5 L</t>
    </r>
    <r>
      <rPr>
        <sz val="11"/>
        <color theme="1"/>
        <rFont val="宋体"/>
        <charset val="134"/>
      </rPr>
      <t>型同步带基准额定功率</t>
    </r>
    <r>
      <rPr>
        <sz val="11"/>
        <color theme="1"/>
        <rFont val="Tahoma"/>
        <charset val="134"/>
      </rPr>
      <t>P0</t>
    </r>
    <r>
      <rPr>
        <sz val="11"/>
        <color theme="1"/>
        <rFont val="宋体"/>
        <charset val="134"/>
      </rPr>
      <t>（节选自机械设计手册）</t>
    </r>
  </si>
  <si>
    <r>
      <rPr>
        <sz val="11"/>
        <color theme="1"/>
        <rFont val="宋体"/>
        <charset val="134"/>
      </rPr>
      <t>表</t>
    </r>
    <r>
      <rPr>
        <sz val="11"/>
        <color theme="1"/>
        <rFont val="Tahoma"/>
        <charset val="134"/>
      </rPr>
      <t xml:space="preserve">6 </t>
    </r>
    <r>
      <rPr>
        <sz val="11"/>
        <color theme="1"/>
        <rFont val="宋体"/>
        <charset val="134"/>
      </rPr>
      <t>同步带宽度参考值</t>
    </r>
  </si>
  <si>
    <t>同步带宽度</t>
  </si>
  <si>
    <t>带轮宽度</t>
  </si>
  <si>
    <t>代号</t>
  </si>
  <si>
    <t>带宽</t>
  </si>
  <si>
    <t>双面挡边</t>
  </si>
  <si>
    <t>单面挡边</t>
  </si>
  <si>
    <t>无挡边</t>
  </si>
  <si>
    <t>012</t>
  </si>
  <si>
    <t>019</t>
  </si>
  <si>
    <t>MXL/XL</t>
  </si>
  <si>
    <t>025</t>
  </si>
  <si>
    <t>031</t>
  </si>
  <si>
    <t>037</t>
  </si>
  <si>
    <t>050</t>
  </si>
  <si>
    <t>075</t>
  </si>
  <si>
    <t>100</t>
  </si>
  <si>
    <t>300</t>
  </si>
  <si>
    <t>301</t>
  </si>
  <si>
    <t>传送平带所需转矩计算与电机选型</t>
  </si>
  <si>
    <r>
      <rPr>
        <sz val="11"/>
        <color theme="1"/>
        <rFont val="宋体"/>
        <charset val="134"/>
      </rPr>
      <t>图</t>
    </r>
    <r>
      <rPr>
        <sz val="11"/>
        <color theme="1"/>
        <rFont val="Tahoma"/>
        <charset val="134"/>
      </rPr>
      <t>1</t>
    </r>
    <r>
      <rPr>
        <sz val="11"/>
        <color theme="1"/>
        <rFont val="宋体"/>
        <charset val="134"/>
      </rPr>
      <t>，基本模型</t>
    </r>
  </si>
  <si>
    <r>
      <rPr>
        <sz val="11"/>
        <color theme="1"/>
        <rFont val="宋体"/>
        <charset val="134"/>
      </rPr>
      <t>带速</t>
    </r>
    <r>
      <rPr>
        <sz val="11"/>
        <color theme="1"/>
        <rFont val="Tahoma"/>
        <charset val="134"/>
      </rPr>
      <t>v(mm/s)</t>
    </r>
  </si>
  <si>
    <t>滚筒式</t>
  </si>
  <si>
    <r>
      <rPr>
        <sz val="11"/>
        <color theme="1"/>
        <rFont val="宋体"/>
        <charset val="134"/>
      </rPr>
      <t>主动轮直径</t>
    </r>
    <r>
      <rPr>
        <sz val="11"/>
        <color theme="1"/>
        <rFont val="Tahoma"/>
        <charset val="134"/>
      </rPr>
      <t>d(mm)</t>
    </r>
  </si>
  <si>
    <t>平板式</t>
  </si>
  <si>
    <r>
      <rPr>
        <sz val="11"/>
        <color theme="1"/>
        <rFont val="宋体"/>
        <charset val="134"/>
      </rPr>
      <t>主动轮转速</t>
    </r>
    <r>
      <rPr>
        <sz val="11"/>
        <color theme="1"/>
        <rFont val="Tahoma"/>
        <charset val="134"/>
      </rPr>
      <t>n(r/min)</t>
    </r>
  </si>
  <si>
    <r>
      <rPr>
        <sz val="11"/>
        <color theme="1"/>
        <rFont val="宋体"/>
        <charset val="134"/>
      </rPr>
      <t>摩擦因数</t>
    </r>
    <r>
      <rPr>
        <sz val="11"/>
        <color theme="1"/>
        <rFont val="Tahoma"/>
        <charset val="134"/>
      </rPr>
      <t>f</t>
    </r>
  </si>
  <si>
    <r>
      <rPr>
        <sz val="11"/>
        <color theme="1"/>
        <rFont val="宋体"/>
        <charset val="134"/>
      </rPr>
      <t>负载总重量</t>
    </r>
    <r>
      <rPr>
        <sz val="11"/>
        <color theme="1"/>
        <rFont val="Tahoma"/>
        <charset val="134"/>
      </rPr>
      <t>M1(kg)</t>
    </r>
  </si>
  <si>
    <r>
      <rPr>
        <sz val="11"/>
        <color theme="1"/>
        <rFont val="宋体"/>
        <charset val="134"/>
      </rPr>
      <t>皮带重量</t>
    </r>
    <r>
      <rPr>
        <sz val="11"/>
        <color theme="1"/>
        <rFont val="Tahoma"/>
        <charset val="134"/>
      </rPr>
      <t>M2(kg)</t>
    </r>
  </si>
  <si>
    <r>
      <rPr>
        <sz val="11"/>
        <color theme="1"/>
        <rFont val="宋体"/>
        <charset val="134"/>
      </rPr>
      <t>主从滚筒总重量</t>
    </r>
    <r>
      <rPr>
        <sz val="11"/>
        <color theme="1"/>
        <rFont val="Tahoma"/>
        <charset val="134"/>
      </rPr>
      <t>M3(kg)</t>
    </r>
  </si>
  <si>
    <r>
      <rPr>
        <sz val="11"/>
        <color theme="1"/>
        <rFont val="宋体"/>
        <charset val="134"/>
      </rPr>
      <t>倾斜角</t>
    </r>
    <r>
      <rPr>
        <sz val="11"/>
        <color theme="1"/>
        <rFont val="Tahoma"/>
        <charset val="134"/>
      </rPr>
      <t>θ(°)</t>
    </r>
  </si>
  <si>
    <r>
      <rPr>
        <sz val="11"/>
        <color theme="1"/>
        <rFont val="宋体"/>
        <charset val="134"/>
      </rPr>
      <t>无挡板时不超过</t>
    </r>
    <r>
      <rPr>
        <sz val="11"/>
        <color theme="1"/>
        <rFont val="Tahoma"/>
        <charset val="134"/>
      </rPr>
      <t>20°</t>
    </r>
  </si>
  <si>
    <r>
      <rPr>
        <sz val="11"/>
        <color theme="1"/>
        <rFont val="宋体"/>
        <charset val="134"/>
      </rPr>
      <t>偏斜重量</t>
    </r>
    <r>
      <rPr>
        <sz val="11"/>
        <color theme="1"/>
        <rFont val="Tahoma"/>
        <charset val="134"/>
      </rPr>
      <t>Z(kg)</t>
    </r>
  </si>
  <si>
    <r>
      <rPr>
        <sz val="11"/>
        <color theme="1"/>
        <rFont val="宋体"/>
        <charset val="134"/>
      </rPr>
      <t>图</t>
    </r>
    <r>
      <rPr>
        <sz val="11"/>
        <color theme="1"/>
        <rFont val="Tahoma"/>
        <charset val="134"/>
      </rPr>
      <t>2</t>
    </r>
  </si>
  <si>
    <r>
      <rPr>
        <sz val="10"/>
        <color theme="1"/>
        <rFont val="宋体"/>
        <charset val="134"/>
      </rPr>
      <t>尾端供给端负载重量</t>
    </r>
    <r>
      <rPr>
        <sz val="10"/>
        <color theme="1"/>
        <rFont val="Tahoma"/>
        <charset val="134"/>
      </rPr>
      <t>W(kg)</t>
    </r>
  </si>
  <si>
    <t>采用重物预紧的质量</t>
  </si>
  <si>
    <t>某厂家算法</t>
  </si>
  <si>
    <r>
      <rPr>
        <sz val="11"/>
        <color theme="1"/>
        <rFont val="宋体"/>
        <charset val="134"/>
      </rPr>
      <t>主动轮理论拉力</t>
    </r>
    <r>
      <rPr>
        <sz val="11"/>
        <color theme="1"/>
        <rFont val="Tahoma"/>
        <charset val="134"/>
      </rPr>
      <t>BP(kg)</t>
    </r>
  </si>
  <si>
    <r>
      <rPr>
        <sz val="11"/>
        <color rgb="FF0070C0"/>
        <rFont val="宋体"/>
        <charset val="134"/>
      </rPr>
      <t>见说明</t>
    </r>
  </si>
  <si>
    <r>
      <rPr>
        <sz val="11"/>
        <color theme="1"/>
        <rFont val="宋体"/>
        <charset val="134"/>
      </rPr>
      <t>主动轮理论拉力</t>
    </r>
    <r>
      <rPr>
        <sz val="11"/>
        <color theme="1"/>
        <rFont val="Tahoma"/>
        <charset val="134"/>
      </rPr>
      <t>F(N)</t>
    </r>
  </si>
  <si>
    <t>F=BPg</t>
  </si>
  <si>
    <r>
      <rPr>
        <sz val="11"/>
        <color theme="1"/>
        <rFont val="宋体"/>
        <charset val="134"/>
      </rPr>
      <t>安全系数</t>
    </r>
    <r>
      <rPr>
        <sz val="11"/>
        <color theme="1"/>
        <rFont val="Tahoma"/>
        <charset val="134"/>
      </rPr>
      <t>K0</t>
    </r>
  </si>
  <si>
    <r>
      <rPr>
        <sz val="11"/>
        <color theme="1"/>
        <rFont val="宋体"/>
        <charset val="134"/>
      </rPr>
      <t>有效拉力</t>
    </r>
    <r>
      <rPr>
        <sz val="11"/>
        <color theme="1"/>
        <rFont val="Tahoma"/>
        <charset val="134"/>
      </rPr>
      <t>Fe(N)</t>
    </r>
  </si>
  <si>
    <t>1.25*BP</t>
  </si>
  <si>
    <r>
      <rPr>
        <sz val="11"/>
        <color theme="1"/>
        <rFont val="宋体"/>
        <charset val="134"/>
      </rPr>
      <t>所需转矩</t>
    </r>
    <r>
      <rPr>
        <sz val="11"/>
        <color theme="1"/>
        <rFont val="Tahoma"/>
        <charset val="134"/>
      </rPr>
      <t>T(N.m)</t>
    </r>
  </si>
  <si>
    <t>FL=9.8*EBP*0.5d/1000</t>
  </si>
  <si>
    <r>
      <rPr>
        <sz val="11"/>
        <color theme="1"/>
        <rFont val="宋体"/>
        <charset val="134"/>
      </rPr>
      <t>图</t>
    </r>
    <r>
      <rPr>
        <sz val="11"/>
        <color theme="1"/>
        <rFont val="Tahoma"/>
        <charset val="134"/>
      </rPr>
      <t>2</t>
    </r>
    <r>
      <rPr>
        <sz val="11"/>
        <color theme="1"/>
        <rFont val="宋体"/>
        <charset val="134"/>
      </rPr>
      <t>，偏斜重量示意图</t>
    </r>
  </si>
  <si>
    <t>经典力学算法</t>
  </si>
  <si>
    <t>(M1+M2)g(fcosθ+sinθ)</t>
  </si>
  <si>
    <r>
      <rPr>
        <sz val="11"/>
        <color theme="1"/>
        <rFont val="宋体"/>
        <charset val="134"/>
      </rPr>
      <t>安全系数</t>
    </r>
    <r>
      <rPr>
        <sz val="11"/>
        <color theme="1"/>
        <rFont val="Tahoma"/>
        <charset val="134"/>
      </rPr>
      <t>K</t>
    </r>
  </si>
  <si>
    <t>有效拉力Fe(N)</t>
  </si>
  <si>
    <t>Fe=KF</t>
  </si>
  <si>
    <t>所需转矩T(N.m)</t>
  </si>
  <si>
    <r>
      <rPr>
        <sz val="11"/>
        <color theme="1"/>
        <rFont val="宋体"/>
        <charset val="134"/>
      </rPr>
      <t>根据</t>
    </r>
    <r>
      <rPr>
        <sz val="11"/>
        <color theme="1"/>
        <rFont val="Tahoma"/>
        <charset val="134"/>
      </rPr>
      <t>n</t>
    </r>
    <r>
      <rPr>
        <sz val="11"/>
        <color theme="1"/>
        <rFont val="宋体"/>
        <charset val="134"/>
      </rPr>
      <t>和</t>
    </r>
    <r>
      <rPr>
        <sz val="11"/>
        <color theme="1"/>
        <rFont val="Tahoma"/>
        <charset val="134"/>
      </rPr>
      <t>T</t>
    </r>
    <r>
      <rPr>
        <sz val="11"/>
        <color theme="1"/>
        <rFont val="宋体"/>
        <charset val="134"/>
      </rPr>
      <t>选电机与减速机</t>
    </r>
  </si>
  <si>
    <r>
      <rPr>
        <sz val="11"/>
        <color theme="1"/>
        <rFont val="宋体"/>
        <charset val="134"/>
      </rPr>
      <t>见厂家样本</t>
    </r>
  </si>
  <si>
    <r>
      <rPr>
        <sz val="11"/>
        <color theme="1"/>
        <rFont val="宋体"/>
        <charset val="134"/>
      </rPr>
      <t>说明：</t>
    </r>
    <r>
      <rPr>
        <sz val="11"/>
        <color theme="1"/>
        <rFont val="Tahoma"/>
        <charset val="134"/>
      </rPr>
      <t xml:space="preserve"> 
    1</t>
    </r>
    <r>
      <rPr>
        <sz val="11"/>
        <color theme="1"/>
        <rFont val="宋体"/>
        <charset val="134"/>
      </rPr>
      <t xml:space="preserve">，厂家算法为一个培训机构的推荐的计算方法，不保证计算精确。
</t>
    </r>
    <r>
      <rPr>
        <sz val="11"/>
        <color theme="1"/>
        <rFont val="Tahoma"/>
        <charset val="134"/>
      </rPr>
      <t xml:space="preserve">    </t>
    </r>
    <r>
      <rPr>
        <sz val="11"/>
        <color theme="1"/>
        <rFont val="宋体"/>
        <charset val="134"/>
      </rPr>
      <t>公式</t>
    </r>
    <r>
      <rPr>
        <sz val="11"/>
        <color theme="1"/>
        <rFont val="Tahoma"/>
        <charset val="134"/>
      </rPr>
      <t>BP=f(M1+M2+M3+0.05W)+M1*sinθ+0.3Z     F=BPg
    2</t>
    </r>
    <r>
      <rPr>
        <sz val="11"/>
        <color theme="1"/>
        <rFont val="宋体"/>
        <charset val="134"/>
      </rPr>
      <t>，经典力学算法为</t>
    </r>
    <r>
      <rPr>
        <sz val="11"/>
        <color theme="1"/>
        <rFont val="Tahoma"/>
        <charset val="134"/>
      </rPr>
      <t>F=(M1+0.5M2)gfcosθ+M1gsinθ</t>
    </r>
    <r>
      <rPr>
        <sz val="11"/>
        <color theme="1"/>
        <rFont val="宋体"/>
        <charset val="134"/>
      </rPr>
      <t>，一般放大为</t>
    </r>
    <r>
      <rPr>
        <sz val="11"/>
        <color theme="1"/>
        <rFont val="Tahoma"/>
        <charset val="134"/>
      </rPr>
      <t>F=(M1+M2)g*
(fcosθ+sinθ)</t>
    </r>
    <r>
      <rPr>
        <sz val="11"/>
        <color theme="1"/>
        <rFont val="宋体"/>
        <charset val="134"/>
      </rPr>
      <t>，因为</t>
    </r>
    <r>
      <rPr>
        <sz val="11"/>
        <color theme="1"/>
        <rFont val="Tahoma"/>
        <charset val="134"/>
      </rPr>
      <t>θ</t>
    </r>
    <r>
      <rPr>
        <sz val="11"/>
        <color theme="1"/>
        <rFont val="宋体"/>
        <charset val="134"/>
      </rPr>
      <t>≤</t>
    </r>
    <r>
      <rPr>
        <sz val="11"/>
        <color theme="1"/>
        <rFont val="Tahoma"/>
        <charset val="134"/>
      </rPr>
      <t>20°</t>
    </r>
    <r>
      <rPr>
        <sz val="11"/>
        <color theme="1"/>
        <rFont val="宋体"/>
        <charset val="134"/>
      </rPr>
      <t>，可将</t>
    </r>
    <r>
      <rPr>
        <sz val="11"/>
        <color theme="1"/>
        <rFont val="Tahoma"/>
        <charset val="134"/>
      </rPr>
      <t>cosθ</t>
    </r>
    <r>
      <rPr>
        <sz val="11"/>
        <color theme="1"/>
        <rFont val="宋体"/>
        <charset val="134"/>
      </rPr>
      <t>换成</t>
    </r>
    <r>
      <rPr>
        <sz val="11"/>
        <color theme="1"/>
        <rFont val="Tahoma"/>
        <charset val="134"/>
      </rPr>
      <t>1</t>
    </r>
    <r>
      <rPr>
        <sz val="11"/>
        <color theme="1"/>
        <rFont val="宋体"/>
        <charset val="134"/>
      </rPr>
      <t>，厂家算法和经典算法结果差距主要产生在计算摩擦力</t>
    </r>
    <r>
      <rPr>
        <sz val="11"/>
        <color theme="1"/>
        <rFont val="Tahoma"/>
        <charset val="134"/>
      </rPr>
      <t>mgf</t>
    </r>
    <r>
      <rPr>
        <sz val="11"/>
        <color theme="1"/>
        <rFont val="宋体"/>
        <charset val="134"/>
      </rPr>
      <t>时是否将主从滚筒质量计算入</t>
    </r>
    <r>
      <rPr>
        <sz val="11"/>
        <color theme="1"/>
        <rFont val="Tahoma"/>
        <charset val="134"/>
      </rPr>
      <t>m</t>
    </r>
    <r>
      <rPr>
        <sz val="11"/>
        <color theme="1"/>
        <rFont val="宋体"/>
        <charset val="134"/>
      </rPr>
      <t>中，使用经典算法至少放大</t>
    </r>
    <r>
      <rPr>
        <sz val="11"/>
        <color theme="1"/>
        <rFont val="Tahoma"/>
        <charset val="134"/>
      </rPr>
      <t>2</t>
    </r>
    <r>
      <rPr>
        <sz val="11"/>
        <color theme="1"/>
        <rFont val="宋体"/>
        <charset val="134"/>
      </rPr>
      <t>倍安全系数。</t>
    </r>
    <r>
      <rPr>
        <sz val="11"/>
        <color theme="1"/>
        <rFont val="Tahoma"/>
        <charset val="134"/>
      </rPr>
      <t xml:space="preserve">
    3</t>
    </r>
    <r>
      <rPr>
        <sz val="11"/>
        <color theme="1"/>
        <rFont val="宋体"/>
        <charset val="134"/>
      </rPr>
      <t>，皮带宽度一般比滚筒小</t>
    </r>
    <r>
      <rPr>
        <sz val="11"/>
        <color theme="1"/>
        <rFont val="Tahoma"/>
        <charset val="134"/>
      </rPr>
      <t>2*</t>
    </r>
    <r>
      <rPr>
        <sz val="11"/>
        <color theme="1"/>
        <rFont val="宋体"/>
        <charset val="134"/>
      </rPr>
      <t>（</t>
    </r>
    <r>
      <rPr>
        <sz val="11"/>
        <color theme="1"/>
        <rFont val="Tahoma"/>
        <charset val="134"/>
      </rPr>
      <t>2~3</t>
    </r>
    <r>
      <rPr>
        <sz val="11"/>
        <color theme="1"/>
        <rFont val="宋体"/>
        <charset val="134"/>
      </rPr>
      <t>）</t>
    </r>
    <r>
      <rPr>
        <sz val="11"/>
        <color theme="1"/>
        <rFont val="Tahoma"/>
        <charset val="134"/>
      </rPr>
      <t>mm</t>
    </r>
    <r>
      <rPr>
        <sz val="11"/>
        <color theme="1"/>
        <rFont val="宋体"/>
        <charset val="134"/>
      </rPr>
      <t>，即</t>
    </r>
    <r>
      <rPr>
        <sz val="11"/>
        <color rgb="FFFF0000"/>
        <rFont val="宋体"/>
        <charset val="134"/>
      </rPr>
      <t>滚筒两端各预留</t>
    </r>
    <r>
      <rPr>
        <sz val="11"/>
        <color rgb="FFFF0000"/>
        <rFont val="Tahoma"/>
        <charset val="134"/>
      </rPr>
      <t>2~3mm</t>
    </r>
    <r>
      <rPr>
        <sz val="11"/>
        <color theme="1"/>
        <rFont val="宋体"/>
        <charset val="134"/>
      </rPr>
      <t xml:space="preserve">。
</t>
    </r>
    <r>
      <rPr>
        <sz val="11"/>
        <color theme="1"/>
        <rFont val="Tahoma"/>
        <charset val="134"/>
      </rPr>
      <t xml:space="preserve">    4</t>
    </r>
    <r>
      <rPr>
        <sz val="11"/>
        <color theme="1"/>
        <rFont val="宋体"/>
        <charset val="134"/>
      </rPr>
      <t>，防止平带跑偏方法：在</t>
    </r>
    <r>
      <rPr>
        <sz val="11"/>
        <color rgb="FFFF0000"/>
        <rFont val="宋体"/>
        <charset val="134"/>
      </rPr>
      <t>主动轮两端各</t>
    </r>
    <r>
      <rPr>
        <sz val="11"/>
        <color rgb="FFFF0000"/>
        <rFont val="Tahoma"/>
        <charset val="134"/>
      </rPr>
      <t>20%</t>
    </r>
    <r>
      <rPr>
        <sz val="11"/>
        <color rgb="FFFF0000"/>
        <rFont val="宋体"/>
        <charset val="134"/>
      </rPr>
      <t>长度做出</t>
    </r>
    <r>
      <rPr>
        <sz val="11"/>
        <color rgb="FFFF0000"/>
        <rFont val="Tahoma"/>
        <charset val="134"/>
      </rPr>
      <t>2°</t>
    </r>
    <r>
      <rPr>
        <sz val="11"/>
        <color rgb="FFFF0000"/>
        <rFont val="宋体"/>
        <charset val="134"/>
      </rPr>
      <t>左右锥度</t>
    </r>
    <r>
      <rPr>
        <sz val="11"/>
        <color theme="1"/>
        <rFont val="宋体"/>
        <charset val="134"/>
      </rPr>
      <t>，如下图</t>
    </r>
  </si>
  <si>
    <r>
      <rPr>
        <sz val="11"/>
        <color theme="1"/>
        <rFont val="宋体"/>
        <charset val="134"/>
      </rPr>
      <t>图</t>
    </r>
    <r>
      <rPr>
        <sz val="11"/>
        <color theme="1"/>
        <rFont val="Tahoma"/>
        <charset val="134"/>
      </rPr>
      <t>3</t>
    </r>
    <r>
      <rPr>
        <sz val="11"/>
        <color theme="1"/>
        <rFont val="宋体"/>
        <charset val="134"/>
      </rPr>
      <t>，电机与减速机厂家样本</t>
    </r>
  </si>
  <si>
    <t xml:space="preserve">文档信息
编写：煜宸
资料来源：前桥教育
                                           2018.8.3 </t>
  </si>
  <si>
    <t>链排数</t>
  </si>
  <si>
    <r>
      <rPr>
        <sz val="11"/>
        <color theme="1"/>
        <rFont val="宋体"/>
        <charset val="134"/>
      </rPr>
      <t>表</t>
    </r>
    <r>
      <rPr>
        <sz val="11"/>
        <color theme="1"/>
        <rFont val="Tahoma"/>
        <charset val="134"/>
      </rPr>
      <t xml:space="preserve">1  </t>
    </r>
    <r>
      <rPr>
        <sz val="11"/>
        <color theme="1"/>
        <rFont val="宋体"/>
        <charset val="134"/>
      </rPr>
      <t>链轮优先选用齿数系列</t>
    </r>
  </si>
  <si>
    <t>单排链</t>
  </si>
  <si>
    <r>
      <rPr>
        <sz val="11"/>
        <color theme="1"/>
        <rFont val="Tahoma"/>
        <charset val="134"/>
      </rPr>
      <t>Z</t>
    </r>
    <r>
      <rPr>
        <sz val="11"/>
        <color theme="1"/>
        <rFont val="宋体"/>
        <charset val="134"/>
      </rPr>
      <t>优先值</t>
    </r>
  </si>
  <si>
    <t>17    19    21    23    25    38    57    76    95    114</t>
  </si>
  <si>
    <t>双排链</t>
  </si>
  <si>
    <t>注：小链轮Z1应≥9，一般≥17，高速或冲击载荷时≥25；大链轮Z2应≤150，一般≤114。</t>
  </si>
  <si>
    <t>三排链</t>
  </si>
  <si>
    <r>
      <rPr>
        <sz val="11"/>
        <color theme="1"/>
        <rFont val="宋体"/>
        <charset val="134"/>
      </rPr>
      <t>小轮转速</t>
    </r>
    <r>
      <rPr>
        <sz val="11"/>
        <color theme="1"/>
        <rFont val="Tahoma"/>
        <charset val="134"/>
      </rPr>
      <t>n1(r/min)</t>
    </r>
  </si>
  <si>
    <r>
      <rPr>
        <sz val="11"/>
        <color theme="1"/>
        <rFont val="宋体"/>
        <charset val="134"/>
      </rPr>
      <t>一般要求不超过</t>
    </r>
    <r>
      <rPr>
        <sz val="11"/>
        <color theme="1"/>
        <rFont val="Tahoma"/>
        <charset val="134"/>
      </rPr>
      <t>8</t>
    </r>
  </si>
  <si>
    <r>
      <rPr>
        <sz val="11"/>
        <color theme="1"/>
        <rFont val="宋体"/>
        <charset val="134"/>
      </rPr>
      <t>表</t>
    </r>
    <r>
      <rPr>
        <sz val="11"/>
        <color theme="1"/>
        <rFont val="Tahoma"/>
        <charset val="134"/>
      </rPr>
      <t xml:space="preserve">2  </t>
    </r>
    <r>
      <rPr>
        <sz val="11"/>
        <color theme="1"/>
        <rFont val="宋体"/>
        <charset val="134"/>
      </rPr>
      <t>工作情况系数</t>
    </r>
    <r>
      <rPr>
        <sz val="11"/>
        <color theme="1"/>
        <rFont val="Tahoma"/>
        <charset val="134"/>
      </rPr>
      <t>KA</t>
    </r>
    <r>
      <rPr>
        <sz val="11"/>
        <color theme="1"/>
        <rFont val="宋体"/>
        <charset val="134"/>
      </rPr>
      <t xml:space="preserve">
</t>
    </r>
  </si>
  <si>
    <r>
      <rPr>
        <sz val="11"/>
        <color theme="1"/>
        <rFont val="Tahoma"/>
        <charset val="134"/>
      </rPr>
      <t>1</t>
    </r>
    <r>
      <rPr>
        <sz val="11"/>
        <color theme="1"/>
        <rFont val="宋体"/>
        <charset val="134"/>
      </rPr>
      <t>，选择链轮齿数</t>
    </r>
  </si>
  <si>
    <r>
      <rPr>
        <sz val="11"/>
        <color theme="1"/>
        <rFont val="宋体"/>
        <charset val="134"/>
      </rPr>
      <t>小链轮</t>
    </r>
    <r>
      <rPr>
        <sz val="11"/>
        <color theme="1"/>
        <rFont val="Tahoma"/>
        <charset val="134"/>
      </rPr>
      <t>Z1</t>
    </r>
  </si>
  <si>
    <r>
      <rPr>
        <sz val="11"/>
        <color theme="8" tint="-0.249977111117893"/>
        <rFont val="宋体"/>
        <charset val="134"/>
      </rPr>
      <t>表</t>
    </r>
    <r>
      <rPr>
        <sz val="11"/>
        <color theme="8" tint="-0.249977111117893"/>
        <rFont val="Tahoma"/>
        <charset val="134"/>
      </rPr>
      <t>1</t>
    </r>
  </si>
  <si>
    <t>从动机械特性</t>
  </si>
  <si>
    <t>主动机械特性</t>
  </si>
  <si>
    <r>
      <rPr>
        <sz val="11"/>
        <color theme="1"/>
        <rFont val="宋体"/>
        <charset val="134"/>
      </rPr>
      <t>计算大连轮</t>
    </r>
    <r>
      <rPr>
        <sz val="11"/>
        <color theme="1"/>
        <rFont val="Tahoma"/>
        <charset val="134"/>
      </rPr>
      <t>Z2'</t>
    </r>
  </si>
  <si>
    <t>平稳运转</t>
  </si>
  <si>
    <r>
      <rPr>
        <sz val="11"/>
        <color theme="1"/>
        <rFont val="宋体"/>
        <charset val="134"/>
      </rPr>
      <t>圆整大连轮</t>
    </r>
    <r>
      <rPr>
        <sz val="11"/>
        <color theme="1"/>
        <rFont val="Tahoma"/>
        <charset val="134"/>
      </rPr>
      <t>Z2</t>
    </r>
  </si>
  <si>
    <r>
      <rPr>
        <sz val="11"/>
        <color theme="1"/>
        <rFont val="Tahoma"/>
        <charset val="134"/>
      </rPr>
      <t>2</t>
    </r>
    <r>
      <rPr>
        <sz val="11"/>
        <color theme="1"/>
        <rFont val="宋体"/>
        <charset val="134"/>
      </rPr>
      <t xml:space="preserve">，确定计算功率
</t>
    </r>
    <r>
      <rPr>
        <sz val="11"/>
        <color theme="1"/>
        <rFont val="Tahoma"/>
        <charset val="134"/>
      </rPr>
      <t xml:space="preserve">     Pca=K</t>
    </r>
    <r>
      <rPr>
        <vertAlign val="subscript"/>
        <sz val="14"/>
        <color theme="1"/>
        <rFont val="Tahoma"/>
        <charset val="134"/>
      </rPr>
      <t>A</t>
    </r>
    <r>
      <rPr>
        <sz val="11"/>
        <color theme="1"/>
        <rFont val="Tahoma"/>
        <charset val="134"/>
      </rPr>
      <t>.P</t>
    </r>
  </si>
  <si>
    <r>
      <rPr>
        <sz val="11"/>
        <color theme="1"/>
        <rFont val="宋体"/>
        <charset val="134"/>
      </rPr>
      <t>小链轮齿数系数</t>
    </r>
    <r>
      <rPr>
        <sz val="11"/>
        <color theme="1"/>
        <rFont val="Tahoma"/>
        <charset val="134"/>
      </rPr>
      <t>Kz</t>
    </r>
  </si>
  <si>
    <r>
      <rPr>
        <sz val="11"/>
        <color theme="1"/>
        <rFont val="宋体"/>
        <charset val="134"/>
      </rPr>
      <t>多排链系数</t>
    </r>
    <r>
      <rPr>
        <sz val="11"/>
        <color theme="1"/>
        <rFont val="Tahoma"/>
        <charset val="134"/>
      </rPr>
      <t>Kp</t>
    </r>
  </si>
  <si>
    <t>(KA*Kz/Kp)*P</t>
  </si>
  <si>
    <r>
      <rPr>
        <sz val="11"/>
        <color theme="1"/>
        <rFont val="宋体"/>
        <charset val="134"/>
      </rPr>
      <t>表3</t>
    </r>
    <r>
      <rPr>
        <sz val="11"/>
        <color theme="1"/>
        <rFont val="Tahoma"/>
        <charset val="134"/>
      </rPr>
      <t xml:space="preserve"> V</t>
    </r>
    <r>
      <rPr>
        <sz val="11"/>
        <color theme="1"/>
        <rFont val="宋体"/>
        <charset val="134"/>
      </rPr>
      <t>带选型</t>
    </r>
  </si>
  <si>
    <r>
      <rPr>
        <sz val="11"/>
        <color theme="1"/>
        <rFont val="Tahoma"/>
        <charset val="134"/>
      </rPr>
      <t>3</t>
    </r>
    <r>
      <rPr>
        <sz val="11"/>
        <color theme="1"/>
        <rFont val="宋体"/>
        <charset val="134"/>
      </rPr>
      <t xml:space="preserve">，选择链条型号
</t>
    </r>
    <r>
      <rPr>
        <sz val="11"/>
        <color theme="1"/>
        <rFont val="Tahoma"/>
        <charset val="134"/>
      </rPr>
      <t xml:space="preserve">     </t>
    </r>
    <r>
      <rPr>
        <sz val="11"/>
        <color theme="1"/>
        <rFont val="宋体"/>
        <charset val="134"/>
      </rPr>
      <t>和节距</t>
    </r>
  </si>
  <si>
    <t>链条型号选择</t>
  </si>
  <si>
    <t>20A</t>
  </si>
  <si>
    <r>
      <rPr>
        <sz val="11"/>
        <color theme="8" tint="-0.249977111117893"/>
        <rFont val="宋体"/>
        <charset val="134"/>
      </rPr>
      <t>表</t>
    </r>
    <r>
      <rPr>
        <sz val="11"/>
        <color theme="8" tint="-0.249977111117893"/>
        <rFont val="Tahoma"/>
        <charset val="134"/>
      </rPr>
      <t>3</t>
    </r>
  </si>
  <si>
    <t>链号</t>
  </si>
  <si>
    <t>节距p</t>
  </si>
  <si>
    <t>05B</t>
  </si>
  <si>
    <r>
      <rPr>
        <sz val="11"/>
        <color theme="1"/>
        <rFont val="Tahoma"/>
        <charset val="134"/>
      </rPr>
      <t>4</t>
    </r>
    <r>
      <rPr>
        <sz val="11"/>
        <color theme="1"/>
        <rFont val="宋体"/>
        <charset val="134"/>
      </rPr>
      <t xml:space="preserve">，计算链节距和
</t>
    </r>
    <r>
      <rPr>
        <sz val="11"/>
        <color theme="1"/>
        <rFont val="Tahoma"/>
        <charset val="134"/>
      </rPr>
      <t xml:space="preserve">     </t>
    </r>
    <r>
      <rPr>
        <sz val="11"/>
        <color theme="1"/>
        <rFont val="宋体"/>
        <charset val="134"/>
      </rPr>
      <t>中心距</t>
    </r>
  </si>
  <si>
    <r>
      <rPr>
        <sz val="11"/>
        <color theme="1"/>
        <rFont val="宋体"/>
        <charset val="134"/>
      </rPr>
      <t>初选中心距</t>
    </r>
    <r>
      <rPr>
        <sz val="11"/>
        <color theme="1"/>
        <rFont val="Tahoma"/>
        <charset val="134"/>
      </rPr>
      <t>a0=30~50p</t>
    </r>
  </si>
  <si>
    <t>06B</t>
  </si>
  <si>
    <r>
      <rPr>
        <sz val="11"/>
        <color theme="1"/>
        <rFont val="宋体"/>
        <charset val="134"/>
      </rPr>
      <t>计算链节数</t>
    </r>
    <r>
      <rPr>
        <sz val="11"/>
        <color theme="1"/>
        <rFont val="Tahoma"/>
        <charset val="134"/>
      </rPr>
      <t>Lp0</t>
    </r>
  </si>
  <si>
    <r>
      <rPr>
        <sz val="11"/>
        <rFont val="Tahoma"/>
        <charset val="134"/>
      </rPr>
      <t>2a0/p+(Z1+Z2)/2+
[(Z2-Z1)/2PI]</t>
    </r>
    <r>
      <rPr>
        <vertAlign val="superscript"/>
        <sz val="12"/>
        <rFont val="Tahoma"/>
        <charset val="134"/>
      </rPr>
      <t>2</t>
    </r>
    <r>
      <rPr>
        <sz val="12"/>
        <rFont val="Tahoma"/>
        <charset val="134"/>
      </rPr>
      <t>*p/a0</t>
    </r>
  </si>
  <si>
    <t>08A</t>
  </si>
  <si>
    <r>
      <rPr>
        <sz val="11"/>
        <color theme="1"/>
        <rFont val="宋体"/>
        <charset val="134"/>
      </rPr>
      <t>圆整链节数</t>
    </r>
    <r>
      <rPr>
        <sz val="11"/>
        <color theme="1"/>
        <rFont val="Tahoma"/>
        <charset val="134"/>
      </rPr>
      <t>Lp</t>
    </r>
  </si>
  <si>
    <t>08B</t>
  </si>
  <si>
    <t>PI*[(Lp-Z1)/(Z2-Z1)-1]</t>
  </si>
  <si>
    <t>10A</t>
  </si>
  <si>
    <r>
      <rPr>
        <sz val="11"/>
        <color theme="1" tint="0.14996795556505"/>
        <rFont val="宋体"/>
        <charset val="134"/>
      </rPr>
      <t>反解</t>
    </r>
    <r>
      <rPr>
        <sz val="11"/>
        <color theme="1" tint="0.14996795556505"/>
        <rFont val="Tahoma"/>
        <charset val="134"/>
      </rPr>
      <t>θ</t>
    </r>
    <r>
      <rPr>
        <sz val="11"/>
        <color theme="1" tint="0.14996795556505"/>
        <rFont val="宋体"/>
        <charset val="134"/>
      </rPr>
      <t>值(°)</t>
    </r>
  </si>
  <si>
    <t>10B</t>
  </si>
  <si>
    <t>中心距计算系数f1</t>
  </si>
  <si>
    <t>12A</t>
  </si>
  <si>
    <r>
      <rPr>
        <sz val="11"/>
        <color theme="1"/>
        <rFont val="宋体"/>
        <charset val="134"/>
      </rPr>
      <t>最大中心距</t>
    </r>
    <r>
      <rPr>
        <sz val="11"/>
        <color theme="1"/>
        <rFont val="Tahoma"/>
        <charset val="134"/>
      </rPr>
      <t>a</t>
    </r>
  </si>
  <si>
    <t>12B</t>
  </si>
  <si>
    <r>
      <rPr>
        <sz val="11"/>
        <color theme="1"/>
        <rFont val="Tahoma"/>
        <charset val="134"/>
      </rPr>
      <t>5</t>
    </r>
    <r>
      <rPr>
        <sz val="11"/>
        <color theme="1"/>
        <rFont val="宋体"/>
        <charset val="134"/>
      </rPr>
      <t xml:space="preserve">，计算链速，确
</t>
    </r>
    <r>
      <rPr>
        <sz val="11"/>
        <color theme="1"/>
        <rFont val="Tahoma"/>
        <charset val="134"/>
      </rPr>
      <t xml:space="preserve">     </t>
    </r>
    <r>
      <rPr>
        <sz val="11"/>
        <color theme="1"/>
        <rFont val="宋体"/>
        <charset val="134"/>
      </rPr>
      <t>定润滑方式</t>
    </r>
  </si>
  <si>
    <r>
      <rPr>
        <sz val="11"/>
        <color theme="1"/>
        <rFont val="宋体"/>
        <charset val="134"/>
      </rPr>
      <t>计算链速</t>
    </r>
    <r>
      <rPr>
        <sz val="11"/>
        <color theme="1"/>
        <rFont val="Tahoma"/>
        <charset val="134"/>
      </rPr>
      <t>v(m/s)</t>
    </r>
  </si>
  <si>
    <r>
      <rPr>
        <sz val="11"/>
        <color theme="1"/>
        <rFont val="宋体"/>
        <charset val="134"/>
      </rPr>
      <t>要求≤</t>
    </r>
    <r>
      <rPr>
        <sz val="11"/>
        <color theme="1"/>
        <rFont val="Tahoma"/>
        <charset val="134"/>
      </rPr>
      <t>15m/s</t>
    </r>
  </si>
  <si>
    <t>16A</t>
  </si>
  <si>
    <t>润滑方式</t>
  </si>
  <si>
    <t>滴油润滑</t>
  </si>
  <si>
    <t>16B</t>
  </si>
  <si>
    <r>
      <rPr>
        <sz val="11"/>
        <color theme="1"/>
        <rFont val="Tahoma"/>
        <charset val="134"/>
      </rPr>
      <t>6</t>
    </r>
    <r>
      <rPr>
        <sz val="11"/>
        <color theme="1"/>
        <rFont val="宋体"/>
        <charset val="134"/>
      </rPr>
      <t>，计算压轴力</t>
    </r>
  </si>
  <si>
    <r>
      <rPr>
        <sz val="11"/>
        <color theme="1"/>
        <rFont val="宋体"/>
        <charset val="134"/>
      </rPr>
      <t>有效圆周力</t>
    </r>
    <r>
      <rPr>
        <sz val="11"/>
        <color theme="1"/>
        <rFont val="Tahoma"/>
        <charset val="134"/>
      </rPr>
      <t>Fe(N)</t>
    </r>
  </si>
  <si>
    <t>1000*P/v</t>
  </si>
  <si>
    <r>
      <rPr>
        <sz val="11"/>
        <color theme="1"/>
        <rFont val="宋体"/>
        <charset val="134"/>
      </rPr>
      <t>压轴力系数</t>
    </r>
    <r>
      <rPr>
        <sz val="11"/>
        <color theme="1"/>
        <rFont val="Tahoma"/>
        <charset val="134"/>
      </rPr>
      <t>Kfp</t>
    </r>
  </si>
  <si>
    <r>
      <rPr>
        <sz val="11"/>
        <color theme="1"/>
        <rFont val="宋体"/>
        <charset val="134"/>
      </rPr>
      <t>水平传</t>
    </r>
    <r>
      <rPr>
        <sz val="11"/>
        <color theme="1"/>
        <rFont val="Tahoma"/>
        <charset val="134"/>
      </rPr>
      <t>1.15</t>
    </r>
    <r>
      <rPr>
        <sz val="11"/>
        <color theme="1"/>
        <rFont val="宋体"/>
        <charset val="134"/>
      </rPr>
      <t>，竖直</t>
    </r>
    <r>
      <rPr>
        <sz val="11"/>
        <color theme="1"/>
        <rFont val="Tahoma"/>
        <charset val="134"/>
      </rPr>
      <t>1.05</t>
    </r>
  </si>
  <si>
    <t>20B</t>
  </si>
  <si>
    <r>
      <rPr>
        <sz val="11"/>
        <rFont val="宋体"/>
        <charset val="134"/>
      </rPr>
      <t>压轴力</t>
    </r>
    <r>
      <rPr>
        <sz val="11"/>
        <rFont val="Tahoma"/>
        <charset val="134"/>
      </rPr>
      <t>Fp(N)</t>
    </r>
  </si>
  <si>
    <t>Kfp*Fe</t>
  </si>
  <si>
    <t>24A</t>
  </si>
  <si>
    <t>滚子链型号</t>
  </si>
  <si>
    <r>
      <rPr>
        <sz val="11"/>
        <color theme="1"/>
        <rFont val="宋体"/>
        <charset val="134"/>
      </rPr>
      <t>型号</t>
    </r>
    <r>
      <rPr>
        <sz val="11"/>
        <color theme="1"/>
        <rFont val="Tahoma"/>
        <charset val="134"/>
      </rPr>
      <t>-</t>
    </r>
    <r>
      <rPr>
        <sz val="11"/>
        <color theme="1"/>
        <rFont val="宋体"/>
        <charset val="134"/>
      </rPr>
      <t>排数</t>
    </r>
    <r>
      <rPr>
        <sz val="11"/>
        <color theme="1"/>
        <rFont val="Tahoma"/>
        <charset val="134"/>
      </rPr>
      <t>-</t>
    </r>
    <r>
      <rPr>
        <sz val="11"/>
        <color theme="1"/>
        <rFont val="宋体"/>
        <charset val="134"/>
      </rPr>
      <t>节数</t>
    </r>
    <r>
      <rPr>
        <sz val="11"/>
        <color theme="1"/>
        <rFont val="Tahoma"/>
        <charset val="134"/>
      </rPr>
      <t xml:space="preserve"> </t>
    </r>
    <r>
      <rPr>
        <sz val="11"/>
        <color theme="1"/>
        <rFont val="宋体"/>
        <charset val="134"/>
      </rPr>
      <t>标准</t>
    </r>
  </si>
  <si>
    <t>24B</t>
  </si>
  <si>
    <t>28A</t>
  </si>
  <si>
    <r>
      <rPr>
        <sz val="11"/>
        <color theme="1"/>
        <rFont val="宋体"/>
        <charset val="134"/>
      </rPr>
      <t>说明：</t>
    </r>
    <r>
      <rPr>
        <sz val="11"/>
        <color theme="1"/>
        <rFont val="Tahoma"/>
        <charset val="134"/>
      </rPr>
      <t xml:space="preserve"> 
    1</t>
    </r>
    <r>
      <rPr>
        <sz val="11"/>
        <color theme="1"/>
        <rFont val="宋体"/>
        <charset val="134"/>
      </rPr>
      <t>，链传动特点：无弹性滑动和整体打滑现象，平均传动比准确，瞬时传动比不准确，传动效率高，轴向压力小，相对齿轮传动制造和安装精度要求低成本低，能在高温潮湿粉尘等恶劣环境工作，有噪音。不宜用在载荷变化很大、高速、极速换向等场合。</t>
    </r>
    <r>
      <rPr>
        <sz val="11"/>
        <color rgb="FFFF0000"/>
        <rFont val="宋体"/>
        <charset val="134"/>
      </rPr>
      <t>滚子链用于低速级传动，传动功率≤</t>
    </r>
    <r>
      <rPr>
        <sz val="11"/>
        <color rgb="FFFF0000"/>
        <rFont val="Tahoma"/>
        <charset val="134"/>
      </rPr>
      <t>100kw</t>
    </r>
    <r>
      <rPr>
        <sz val="11"/>
        <color rgb="FFFF0000"/>
        <rFont val="宋体"/>
        <charset val="134"/>
      </rPr>
      <t>，链速≤</t>
    </r>
    <r>
      <rPr>
        <sz val="11"/>
        <color rgb="FFFF0000"/>
        <rFont val="Tahoma"/>
        <charset val="134"/>
      </rPr>
      <t>15m/s</t>
    </r>
    <r>
      <rPr>
        <sz val="11"/>
        <color rgb="FFFF0000"/>
        <rFont val="宋体"/>
        <charset val="134"/>
      </rPr>
      <t>，传动比≤</t>
    </r>
    <r>
      <rPr>
        <sz val="11"/>
        <color rgb="FFFF0000"/>
        <rFont val="Tahoma"/>
        <charset val="134"/>
      </rPr>
      <t>8</t>
    </r>
    <r>
      <rPr>
        <sz val="11"/>
        <color theme="1"/>
        <rFont val="宋体"/>
        <charset val="134"/>
      </rPr>
      <t xml:space="preserve">
</t>
    </r>
    <r>
      <rPr>
        <sz val="11"/>
        <color theme="1"/>
        <rFont val="Tahoma"/>
        <charset val="134"/>
      </rPr>
      <t xml:space="preserve">    2</t>
    </r>
    <r>
      <rPr>
        <sz val="11"/>
        <color theme="1"/>
        <rFont val="宋体"/>
        <charset val="134"/>
      </rPr>
      <t>，链轮的材料见附表</t>
    </r>
    <r>
      <rPr>
        <sz val="11"/>
        <color theme="1"/>
        <rFont val="Tahoma"/>
        <charset val="134"/>
      </rPr>
      <t>1</t>
    </r>
    <r>
      <rPr>
        <sz val="11"/>
        <color theme="1"/>
        <rFont val="宋体"/>
        <charset val="134"/>
      </rPr>
      <t>，尺寸参数见附表</t>
    </r>
    <r>
      <rPr>
        <sz val="11"/>
        <color theme="1"/>
        <rFont val="Tahoma"/>
        <charset val="134"/>
      </rPr>
      <t>2</t>
    </r>
    <r>
      <rPr>
        <sz val="11"/>
        <color theme="1"/>
        <rFont val="宋体"/>
        <charset val="134"/>
      </rPr>
      <t xml:space="preserve">
</t>
    </r>
    <r>
      <rPr>
        <sz val="11"/>
        <color theme="1"/>
        <rFont val="Tahoma"/>
        <charset val="134"/>
      </rPr>
      <t xml:space="preserve">    3</t>
    </r>
    <r>
      <rPr>
        <sz val="11"/>
        <color theme="1"/>
        <rFont val="宋体"/>
        <charset val="134"/>
      </rPr>
      <t>，链传动的布置见附表</t>
    </r>
    <r>
      <rPr>
        <sz val="11"/>
        <color theme="1"/>
        <rFont val="Tahoma"/>
        <charset val="134"/>
      </rPr>
      <t>3</t>
    </r>
    <r>
      <rPr>
        <sz val="11"/>
        <color theme="1"/>
        <rFont val="宋体"/>
        <charset val="134"/>
      </rPr>
      <t>，张紧方式见附表</t>
    </r>
    <r>
      <rPr>
        <sz val="11"/>
        <color theme="1"/>
        <rFont val="Tahoma"/>
        <charset val="134"/>
      </rPr>
      <t>4</t>
    </r>
    <r>
      <rPr>
        <sz val="11"/>
        <color theme="1"/>
        <rFont val="宋体"/>
        <charset val="134"/>
      </rPr>
      <t xml:space="preserve">
</t>
    </r>
    <r>
      <rPr>
        <sz val="11"/>
        <color theme="1"/>
        <rFont val="Tahoma"/>
        <charset val="134"/>
      </rPr>
      <t xml:space="preserve">    4</t>
    </r>
    <r>
      <rPr>
        <sz val="11"/>
        <color theme="1"/>
        <rFont val="宋体"/>
        <charset val="134"/>
      </rPr>
      <t>，中心距计算系数</t>
    </r>
    <r>
      <rPr>
        <sz val="11"/>
        <color theme="1"/>
        <rFont val="Tahoma"/>
        <charset val="134"/>
      </rPr>
      <t>f</t>
    </r>
    <r>
      <rPr>
        <sz val="11"/>
        <color theme="1"/>
        <rFont val="宋体"/>
        <charset val="134"/>
      </rPr>
      <t>计算公式
反解</t>
    </r>
    <r>
      <rPr>
        <sz val="11"/>
        <color theme="1"/>
        <rFont val="Tahoma"/>
        <charset val="134"/>
      </rPr>
      <t>invθ</t>
    </r>
    <r>
      <rPr>
        <sz val="11"/>
        <color theme="1"/>
        <rFont val="宋体"/>
        <charset val="134"/>
      </rPr>
      <t>渐开线函数详见参考文献</t>
    </r>
  </si>
  <si>
    <t>28B</t>
  </si>
  <si>
    <t>32A</t>
  </si>
  <si>
    <t>32B</t>
  </si>
  <si>
    <t>36A</t>
  </si>
  <si>
    <t>40A</t>
  </si>
  <si>
    <t>40B</t>
  </si>
  <si>
    <t>48A</t>
  </si>
  <si>
    <r>
      <rPr>
        <sz val="11"/>
        <color theme="1"/>
        <rFont val="宋体"/>
        <charset val="134"/>
      </rPr>
      <t>表</t>
    </r>
    <r>
      <rPr>
        <sz val="11"/>
        <color theme="1"/>
        <rFont val="Tahoma"/>
        <charset val="134"/>
      </rPr>
      <t xml:space="preserve">4 </t>
    </r>
    <r>
      <rPr>
        <sz val="11"/>
        <color theme="1"/>
        <rFont val="宋体"/>
        <charset val="134"/>
      </rPr>
      <t>润滑方式选择</t>
    </r>
  </si>
  <si>
    <t>48B</t>
  </si>
  <si>
    <r>
      <rPr>
        <sz val="11"/>
        <color theme="1"/>
        <rFont val="宋体"/>
        <charset val="134"/>
      </rPr>
      <t>压力供油</t>
    </r>
    <r>
      <rPr>
        <sz val="11"/>
        <color theme="1"/>
        <rFont val="Tahoma"/>
        <charset val="134"/>
      </rPr>
      <t>(</t>
    </r>
    <r>
      <rPr>
        <sz val="11"/>
        <color theme="1"/>
        <rFont val="宋体"/>
        <charset val="134"/>
      </rPr>
      <t>强制润滑</t>
    </r>
    <r>
      <rPr>
        <sz val="11"/>
        <color theme="1"/>
        <rFont val="Tahoma"/>
        <charset val="134"/>
      </rPr>
      <t>)</t>
    </r>
    <r>
      <rPr>
        <sz val="11"/>
        <color theme="1"/>
        <rFont val="宋体"/>
        <charset val="134"/>
      </rPr>
      <t>，适用于高速重载。喷油嘴应布置在链条与链轮的啮合处，且数量应比链条排数多一个以使其对准每列链板间隙处。</t>
    </r>
  </si>
  <si>
    <t>定期人工润滑</t>
  </si>
  <si>
    <t>56B</t>
  </si>
  <si>
    <t>64B</t>
  </si>
  <si>
    <t>油池或油盘</t>
  </si>
  <si>
    <t>72B</t>
  </si>
  <si>
    <t xml:space="preserve">文档信息
编写：煜宸
参考：《机械设计——第八版》——蒲良贵、纪名刚
      《英科宇机械工程师设计手册》——电子版
      《反渐开线函数的综合解算方法》——沈守范
                                           2018.8.8   
</t>
  </si>
  <si>
    <t>压力供油</t>
  </si>
  <si>
    <r>
      <rPr>
        <sz val="11"/>
        <color theme="1"/>
        <rFont val="宋体"/>
        <charset val="134"/>
      </rPr>
      <t>飞溅润滑</t>
    </r>
    <r>
      <rPr>
        <sz val="11"/>
        <color theme="1"/>
        <rFont val="Tahoma"/>
        <charset val="134"/>
      </rPr>
      <t>(</t>
    </r>
    <r>
      <rPr>
        <sz val="11"/>
        <color theme="1"/>
        <rFont val="宋体"/>
        <charset val="134"/>
      </rPr>
      <t>油环润滑</t>
    </r>
    <r>
      <rPr>
        <sz val="11"/>
        <color theme="1"/>
        <rFont val="Tahoma"/>
        <charset val="134"/>
      </rPr>
      <t>)</t>
    </r>
    <r>
      <rPr>
        <sz val="11"/>
        <color theme="1"/>
        <rFont val="宋体"/>
        <charset val="134"/>
      </rPr>
      <t>，链条运行在油面上方，一个能侵入油中</t>
    </r>
    <r>
      <rPr>
        <sz val="11"/>
        <color theme="1"/>
        <rFont val="Tahoma"/>
        <charset val="134"/>
      </rPr>
      <t>12.7~24.5mm</t>
    </r>
    <r>
      <rPr>
        <sz val="11"/>
        <color theme="1"/>
        <rFont val="宋体"/>
        <charset val="134"/>
      </rPr>
      <t>的甩油盘利用离心力将油飞溅起来，并利用箱体上的集油装置持续不断的导流到链条上。甩油盘的圆周速度应＞</t>
    </r>
    <r>
      <rPr>
        <sz val="11"/>
        <color theme="1"/>
        <rFont val="Tahoma"/>
        <charset val="134"/>
      </rPr>
      <t>3m/s</t>
    </r>
    <r>
      <rPr>
        <sz val="11"/>
        <color theme="1"/>
        <rFont val="宋体"/>
        <charset val="134"/>
      </rPr>
      <t>，一般不超过</t>
    </r>
    <r>
      <rPr>
        <sz val="11"/>
        <color theme="1"/>
        <rFont val="Tahoma"/>
        <charset val="134"/>
      </rPr>
      <t>12.5m/s</t>
    </r>
    <r>
      <rPr>
        <sz val="11"/>
        <color theme="1"/>
        <rFont val="宋体"/>
        <charset val="134"/>
      </rPr>
      <t>，最大不超过</t>
    </r>
    <r>
      <rPr>
        <sz val="11"/>
        <color theme="1"/>
        <rFont val="Tahoma"/>
        <charset val="134"/>
      </rPr>
      <t>40m/s</t>
    </r>
    <r>
      <rPr>
        <sz val="11"/>
        <color theme="1"/>
        <rFont val="宋体"/>
        <charset val="134"/>
      </rPr>
      <t>。当链条宽度＞</t>
    </r>
    <r>
      <rPr>
        <sz val="11"/>
        <color theme="1"/>
        <rFont val="Tahoma"/>
        <charset val="134"/>
      </rPr>
      <t>127mm</t>
    </r>
    <r>
      <rPr>
        <sz val="11"/>
        <color theme="1"/>
        <rFont val="宋体"/>
        <charset val="134"/>
      </rPr>
      <t>时，应在链轮两侧都装甩油盘。</t>
    </r>
  </si>
  <si>
    <t>附表1 链轮材料热处理</t>
  </si>
  <si>
    <r>
      <rPr>
        <sz val="11"/>
        <color theme="1"/>
        <rFont val="宋体"/>
        <charset val="134"/>
      </rPr>
      <t>油池润滑</t>
    </r>
    <r>
      <rPr>
        <sz val="11"/>
        <color theme="1"/>
        <rFont val="Tahoma"/>
        <charset val="134"/>
      </rPr>
      <t>(</t>
    </r>
    <r>
      <rPr>
        <sz val="11"/>
        <color theme="1"/>
        <rFont val="宋体"/>
        <charset val="134"/>
      </rPr>
      <t>油浴润滑</t>
    </r>
    <r>
      <rPr>
        <sz val="11"/>
        <color theme="1"/>
        <rFont val="Tahoma"/>
        <charset val="134"/>
      </rPr>
      <t>)</t>
    </r>
    <r>
      <rPr>
        <sz val="11"/>
        <color theme="1"/>
        <rFont val="宋体"/>
        <charset val="134"/>
      </rPr>
      <t>，使链板边至滚子或套筒能侵入，应注意侵油过浅润滑不可靠，过深则搅油阻力大</t>
    </r>
  </si>
  <si>
    <t>滴油润滑，用油芯加油器、针阀式注油杯或滴油杯加油，适用于低轴压比的传动，应注意尽可能避免产生润滑剂变色现象</t>
  </si>
  <si>
    <t>人工润滑，用刷子或油壶定期在链条松边内外链板间隙处加油，这种方法可靠性不高，仅适用于非经常工作的链条或低速二级传动中。至少每天充分润滑一次，应注意尽可能避免产生润滑剂变色现象</t>
  </si>
  <si>
    <r>
      <rPr>
        <sz val="11"/>
        <color theme="1"/>
        <rFont val="宋体"/>
        <charset val="134"/>
      </rPr>
      <t>附表</t>
    </r>
    <r>
      <rPr>
        <sz val="11"/>
        <color theme="1"/>
        <rFont val="Tahoma"/>
        <charset val="134"/>
      </rPr>
      <t xml:space="preserve">2  </t>
    </r>
    <r>
      <rPr>
        <sz val="11"/>
        <color theme="1"/>
        <rFont val="宋体"/>
        <charset val="134"/>
      </rPr>
      <t>链轮尺寸参数</t>
    </r>
  </si>
  <si>
    <t xml:space="preserve">文档信息
编写：图惜
参考：《机械设计——第八版》——蒲良贵、纪名刚
      《机械设计手册——第五版第三卷》——成大先
                                           2018.8.3
</t>
  </si>
  <si>
    <r>
      <rPr>
        <sz val="11"/>
        <color theme="1"/>
        <rFont val="宋体"/>
        <charset val="134"/>
      </rPr>
      <t>附表</t>
    </r>
    <r>
      <rPr>
        <sz val="11"/>
        <color theme="1"/>
        <rFont val="Tahoma"/>
        <charset val="134"/>
      </rPr>
      <t xml:space="preserve">3  </t>
    </r>
    <r>
      <rPr>
        <sz val="11"/>
        <color theme="1"/>
        <rFont val="宋体"/>
        <charset val="134"/>
      </rPr>
      <t>链传动的布置</t>
    </r>
  </si>
  <si>
    <r>
      <rPr>
        <sz val="11"/>
        <color theme="1"/>
        <rFont val="宋体"/>
        <charset val="134"/>
      </rPr>
      <t>附表4</t>
    </r>
    <r>
      <rPr>
        <sz val="11"/>
        <color theme="1"/>
        <rFont val="Tahoma"/>
        <charset val="134"/>
      </rPr>
      <t xml:space="preserve">  </t>
    </r>
    <r>
      <rPr>
        <sz val="11"/>
        <color theme="1"/>
        <rFont val="宋体"/>
        <charset val="134"/>
      </rPr>
      <t>链传动的张紧方式</t>
    </r>
  </si>
  <si>
    <r>
      <rPr>
        <b/>
        <sz val="16"/>
        <color theme="1"/>
        <rFont val="宋体"/>
        <charset val="134"/>
      </rPr>
      <t>倍速滚子链选型向导</t>
    </r>
  </si>
  <si>
    <t>已知条件：负载速度、输送长度、堆积或输送距离、物料单位重量和总重量</t>
  </si>
  <si>
    <r>
      <rPr>
        <sz val="11"/>
        <color theme="1"/>
        <rFont val="宋体"/>
        <charset val="134"/>
      </rPr>
      <t>负载传递速度</t>
    </r>
    <r>
      <rPr>
        <sz val="11"/>
        <color theme="1"/>
        <rFont val="Tahoma"/>
        <charset val="134"/>
      </rPr>
      <t>V(mm/s)</t>
    </r>
  </si>
  <si>
    <r>
      <rPr>
        <sz val="11"/>
        <color theme="1"/>
        <rFont val="宋体"/>
        <charset val="134"/>
      </rPr>
      <t>输送长度</t>
    </r>
    <r>
      <rPr>
        <sz val="11"/>
        <color theme="1"/>
        <rFont val="Tahoma"/>
        <charset val="134"/>
      </rPr>
      <t>L=L1+L2(m)</t>
    </r>
  </si>
  <si>
    <r>
      <rPr>
        <sz val="11"/>
        <color theme="1"/>
        <rFont val="宋体"/>
        <charset val="134"/>
      </rPr>
      <t>物料堆积长度</t>
    </r>
    <r>
      <rPr>
        <sz val="11"/>
        <color theme="1"/>
        <rFont val="Tahoma"/>
        <charset val="134"/>
      </rPr>
      <t>L2(m)</t>
    </r>
  </si>
  <si>
    <r>
      <rPr>
        <sz val="11"/>
        <color theme="1"/>
        <rFont val="宋体"/>
        <charset val="134"/>
      </rPr>
      <t>物料总重量</t>
    </r>
    <r>
      <rPr>
        <sz val="11"/>
        <color theme="1"/>
        <rFont val="Tahoma"/>
        <charset val="134"/>
      </rPr>
      <t>W(kg)</t>
    </r>
  </si>
  <si>
    <r>
      <rPr>
        <sz val="11"/>
        <color theme="1"/>
        <rFont val="宋体"/>
        <charset val="134"/>
      </rPr>
      <t>表</t>
    </r>
    <r>
      <rPr>
        <sz val="11"/>
        <color theme="1"/>
        <rFont val="Tahoma"/>
        <charset val="134"/>
      </rPr>
      <t xml:space="preserve">1 </t>
    </r>
    <r>
      <rPr>
        <sz val="11"/>
        <color theme="1"/>
        <rFont val="宋体"/>
        <charset val="134"/>
      </rPr>
      <t>速度系数</t>
    </r>
    <r>
      <rPr>
        <sz val="11"/>
        <color theme="1"/>
        <rFont val="Tahoma"/>
        <charset val="134"/>
      </rPr>
      <t>Kv</t>
    </r>
  </si>
  <si>
    <r>
      <rPr>
        <sz val="11"/>
        <color theme="1"/>
        <rFont val="宋体"/>
        <charset val="134"/>
      </rPr>
      <t>堆积物料单重</t>
    </r>
    <r>
      <rPr>
        <sz val="11"/>
        <color theme="1"/>
        <rFont val="Tahoma"/>
        <charset val="134"/>
      </rPr>
      <t>M2(kg/m)</t>
    </r>
  </si>
  <si>
    <t>链速(m/s)</t>
  </si>
  <si>
    <r>
      <rPr>
        <sz val="11"/>
        <color theme="1"/>
        <rFont val="宋体"/>
        <charset val="134"/>
      </rPr>
      <t>＜</t>
    </r>
    <r>
      <rPr>
        <sz val="11"/>
        <color theme="1"/>
        <rFont val="Tahoma"/>
        <charset val="134"/>
      </rPr>
      <t>0.25</t>
    </r>
  </si>
  <si>
    <t>0.5~0.83</t>
  </si>
  <si>
    <t>0.8~1.2</t>
  </si>
  <si>
    <t>1.5~1.8</t>
  </si>
  <si>
    <t>1.2~2</t>
  </si>
  <si>
    <r>
      <rPr>
        <sz val="11"/>
        <color theme="1"/>
        <rFont val="宋体"/>
        <charset val="134"/>
      </rPr>
      <t>输送物料单重</t>
    </r>
    <r>
      <rPr>
        <sz val="11"/>
        <color theme="1"/>
        <rFont val="Tahoma"/>
        <charset val="134"/>
      </rPr>
      <t>M1(kg/m)</t>
    </r>
  </si>
  <si>
    <r>
      <rPr>
        <sz val="11"/>
        <color theme="1"/>
        <rFont val="Tahoma"/>
        <charset val="134"/>
      </rPr>
      <t>1</t>
    </r>
    <r>
      <rPr>
        <sz val="11"/>
        <color theme="1"/>
        <rFont val="宋体"/>
        <charset val="134"/>
      </rPr>
      <t>，计算链条最大拉力</t>
    </r>
  </si>
  <si>
    <r>
      <rPr>
        <sz val="11"/>
        <color theme="1"/>
        <rFont val="宋体"/>
        <charset val="134"/>
      </rPr>
      <t>链条倍率</t>
    </r>
  </si>
  <si>
    <t>厂家样本</t>
  </si>
  <si>
    <r>
      <rPr>
        <sz val="11"/>
        <color theme="1"/>
        <rFont val="宋体"/>
        <charset val="134"/>
      </rPr>
      <t>注：倍速链条建议速度</t>
    </r>
    <r>
      <rPr>
        <sz val="11"/>
        <color theme="1"/>
        <rFont val="Tahoma"/>
        <charset val="134"/>
      </rPr>
      <t>0.08~0.25m/s</t>
    </r>
    <r>
      <rPr>
        <sz val="11"/>
        <color theme="1"/>
        <rFont val="宋体"/>
        <charset val="134"/>
      </rPr>
      <t>；带塑料</t>
    </r>
    <r>
      <rPr>
        <sz val="11"/>
        <color theme="1"/>
        <rFont val="Tahoma"/>
        <charset val="134"/>
      </rPr>
      <t>R</t>
    </r>
    <r>
      <rPr>
        <sz val="11"/>
        <color theme="1"/>
        <rFont val="宋体"/>
        <charset val="134"/>
      </rPr>
      <t>滚子链条≤</t>
    </r>
    <r>
      <rPr>
        <sz val="11"/>
        <color theme="1"/>
        <rFont val="Tahoma"/>
        <charset val="134"/>
      </rPr>
      <t>1.2m/s</t>
    </r>
    <r>
      <rPr>
        <sz val="11"/>
        <color theme="1"/>
        <rFont val="宋体"/>
        <charset val="134"/>
      </rPr>
      <t>；塑料链条≤</t>
    </r>
    <r>
      <rPr>
        <sz val="11"/>
        <color theme="1"/>
        <rFont val="Tahoma"/>
        <charset val="134"/>
      </rPr>
      <t>1.2m/s</t>
    </r>
    <r>
      <rPr>
        <sz val="11"/>
        <color theme="1"/>
        <rFont val="宋体"/>
        <charset val="134"/>
      </rPr>
      <t>。</t>
    </r>
  </si>
  <si>
    <r>
      <rPr>
        <sz val="11"/>
        <color theme="1"/>
        <rFont val="宋体"/>
        <charset val="134"/>
      </rPr>
      <t>链条速度</t>
    </r>
    <r>
      <rPr>
        <sz val="11"/>
        <color theme="1"/>
        <rFont val="Tahoma"/>
        <charset val="134"/>
      </rPr>
      <t>V(m/s)</t>
    </r>
  </si>
  <si>
    <r>
      <rPr>
        <sz val="11"/>
        <color theme="1"/>
        <rFont val="宋体"/>
        <charset val="134"/>
      </rPr>
      <t>速度系数</t>
    </r>
    <r>
      <rPr>
        <sz val="11"/>
        <color theme="1"/>
        <rFont val="Tahoma"/>
        <charset val="134"/>
      </rPr>
      <t>Kv</t>
    </r>
  </si>
  <si>
    <r>
      <rPr>
        <sz val="11"/>
        <color theme="1"/>
        <rFont val="宋体"/>
        <charset val="134"/>
      </rPr>
      <t>表</t>
    </r>
    <r>
      <rPr>
        <sz val="11"/>
        <color theme="1"/>
        <rFont val="Tahoma"/>
        <charset val="134"/>
      </rPr>
      <t xml:space="preserve">2 </t>
    </r>
    <r>
      <rPr>
        <sz val="11"/>
        <color theme="1"/>
        <rFont val="宋体"/>
        <charset val="134"/>
      </rPr>
      <t>摩擦系数：输送时链条与轨道摩擦系数</t>
    </r>
    <r>
      <rPr>
        <sz val="11"/>
        <color theme="1"/>
        <rFont val="Tahoma"/>
        <charset val="134"/>
      </rPr>
      <t>f1</t>
    </r>
    <r>
      <rPr>
        <sz val="11"/>
        <color theme="1"/>
        <rFont val="宋体"/>
        <charset val="134"/>
      </rPr>
      <t>；堆积时链条与物料摩擦系数</t>
    </r>
    <r>
      <rPr>
        <sz val="11"/>
        <color theme="1"/>
        <rFont val="Tahoma"/>
        <charset val="134"/>
      </rPr>
      <t>f2</t>
    </r>
    <r>
      <rPr>
        <sz val="11"/>
        <color theme="1"/>
        <rFont val="宋体"/>
        <charset val="134"/>
      </rPr>
      <t>；堆积时链条与轨道摩擦系数</t>
    </r>
    <r>
      <rPr>
        <sz val="11"/>
        <color theme="1"/>
        <rFont val="Tahoma"/>
        <charset val="134"/>
      </rPr>
      <t>f2</t>
    </r>
    <r>
      <rPr>
        <sz val="11"/>
        <color theme="1"/>
        <rFont val="宋体"/>
        <charset val="134"/>
      </rPr>
      <t>。</t>
    </r>
  </si>
  <si>
    <t>滚子类型</t>
  </si>
  <si>
    <t>钢制滚子</t>
  </si>
  <si>
    <t>下拉列表选择</t>
  </si>
  <si>
    <t>滚子材料</t>
  </si>
  <si>
    <t>塑料滚子</t>
  </si>
  <si>
    <r>
      <rPr>
        <sz val="11"/>
        <color theme="1"/>
        <rFont val="宋体"/>
        <charset val="134"/>
      </rPr>
      <t>堆积时物料与链条摩擦系数</t>
    </r>
    <r>
      <rPr>
        <sz val="11"/>
        <color theme="1"/>
        <rFont val="Tahoma"/>
        <charset val="134"/>
      </rPr>
      <t>f2</t>
    </r>
  </si>
  <si>
    <r>
      <rPr>
        <sz val="11"/>
        <color theme="8" tint="-0.249977111117893"/>
        <rFont val="宋体"/>
        <charset val="134"/>
      </rPr>
      <t>参考表</t>
    </r>
    <r>
      <rPr>
        <sz val="11"/>
        <color theme="8" tint="-0.249977111117893"/>
        <rFont val="Tahoma"/>
        <charset val="134"/>
      </rPr>
      <t>2</t>
    </r>
  </si>
  <si>
    <t>UA</t>
  </si>
  <si>
    <t>UB</t>
  </si>
  <si>
    <r>
      <rPr>
        <sz val="11"/>
        <color theme="1"/>
        <rFont val="宋体"/>
        <charset val="134"/>
      </rPr>
      <t>堆积时导轨与链条摩擦系数</t>
    </r>
    <r>
      <rPr>
        <sz val="11"/>
        <color theme="1"/>
        <rFont val="Tahoma"/>
        <charset val="134"/>
      </rPr>
      <t>f3</t>
    </r>
  </si>
  <si>
    <t>是否需润滑</t>
  </si>
  <si>
    <t>是</t>
  </si>
  <si>
    <t>——</t>
  </si>
  <si>
    <r>
      <rPr>
        <sz val="11"/>
        <color theme="1"/>
        <rFont val="宋体"/>
        <charset val="134"/>
      </rPr>
      <t>作用在链上最大拉力</t>
    </r>
    <r>
      <rPr>
        <sz val="11"/>
        <color theme="1"/>
        <rFont val="Tahoma"/>
        <charset val="134"/>
      </rPr>
      <t>Fmax(KN)</t>
    </r>
  </si>
  <si>
    <t>估算公式</t>
  </si>
  <si>
    <t>f1</t>
  </si>
  <si>
    <r>
      <rPr>
        <sz val="11"/>
        <color theme="1"/>
        <rFont val="宋体"/>
        <charset val="134"/>
      </rPr>
      <t>双链条时每根拉力</t>
    </r>
    <r>
      <rPr>
        <sz val="11"/>
        <color theme="1"/>
        <rFont val="Tahoma"/>
        <charset val="134"/>
      </rPr>
      <t>0.6Fmax(KN)</t>
    </r>
  </si>
  <si>
    <t>f2</t>
  </si>
  <si>
    <t>初选链条型号</t>
  </si>
  <si>
    <t>RF 2030 VR</t>
  </si>
  <si>
    <t>f3</t>
  </si>
  <si>
    <r>
      <rPr>
        <sz val="11"/>
        <color theme="1"/>
        <rFont val="Tahoma"/>
        <charset val="134"/>
      </rPr>
      <t>2</t>
    </r>
    <r>
      <rPr>
        <sz val="11"/>
        <color theme="1"/>
        <rFont val="宋体"/>
        <charset val="134"/>
      </rPr>
      <t>，负载重量校核</t>
    </r>
  </si>
  <si>
    <r>
      <rPr>
        <sz val="11"/>
        <color theme="1"/>
        <rFont val="宋体"/>
        <charset val="134"/>
      </rPr>
      <t>滚子容许负载</t>
    </r>
    <r>
      <rPr>
        <sz val="11"/>
        <color theme="1"/>
        <rFont val="Tahoma"/>
        <charset val="134"/>
      </rPr>
      <t>[G](KN)</t>
    </r>
  </si>
  <si>
    <r>
      <rPr>
        <sz val="11"/>
        <color theme="8" tint="-0.249977111117893"/>
        <rFont val="宋体"/>
        <charset val="134"/>
      </rPr>
      <t>表</t>
    </r>
    <r>
      <rPr>
        <sz val="11"/>
        <color theme="8" tint="-0.249977111117893"/>
        <rFont val="Tahoma"/>
        <charset val="134"/>
      </rPr>
      <t>4</t>
    </r>
  </si>
  <si>
    <t>工作负载G</t>
  </si>
  <si>
    <r>
      <rPr>
        <sz val="11"/>
        <color theme="1"/>
        <rFont val="宋体"/>
        <charset val="134"/>
      </rPr>
      <t>表</t>
    </r>
    <r>
      <rPr>
        <sz val="11"/>
        <color theme="1"/>
        <rFont val="Tahoma"/>
        <charset val="134"/>
      </rPr>
      <t xml:space="preserve">3 </t>
    </r>
    <r>
      <rPr>
        <sz val="11"/>
        <color theme="1"/>
        <rFont val="宋体"/>
        <charset val="134"/>
      </rPr>
      <t>倍速链规格与最大允许拉力</t>
    </r>
    <r>
      <rPr>
        <sz val="11"/>
        <color theme="1"/>
        <rFont val="Tahoma"/>
        <charset val="134"/>
      </rPr>
      <t xml:space="preserve"> (KN, {kg})</t>
    </r>
  </si>
  <si>
    <t>校核</t>
  </si>
  <si>
    <r>
      <rPr>
        <sz val="11"/>
        <color theme="1"/>
        <rFont val="Tahoma"/>
        <charset val="134"/>
      </rPr>
      <t>3</t>
    </r>
    <r>
      <rPr>
        <sz val="11"/>
        <color theme="1"/>
        <rFont val="宋体"/>
        <charset val="134"/>
      </rPr>
      <t xml:space="preserve">，链条拉力校核
</t>
    </r>
    <r>
      <rPr>
        <sz val="11"/>
        <color theme="1"/>
        <rFont val="Tahoma"/>
        <charset val="134"/>
      </rPr>
      <t xml:space="preserve">     </t>
    </r>
  </si>
  <si>
    <t>链条单位重量(kg/m)</t>
  </si>
  <si>
    <r>
      <rPr>
        <sz val="11"/>
        <color theme="1"/>
        <rFont val="宋体"/>
        <charset val="134"/>
      </rPr>
      <t>输送时链条与轨道摩擦系数</t>
    </r>
    <r>
      <rPr>
        <sz val="11"/>
        <color theme="1"/>
        <rFont val="Tahoma"/>
        <charset val="134"/>
      </rPr>
      <t>f1</t>
    </r>
  </si>
  <si>
    <r>
      <rPr>
        <sz val="11"/>
        <color theme="1"/>
        <rFont val="宋体"/>
        <charset val="134"/>
      </rPr>
      <t>作用在链上最大拉力</t>
    </r>
    <r>
      <rPr>
        <sz val="11"/>
        <color theme="1"/>
        <rFont val="Tahoma"/>
        <charset val="134"/>
      </rPr>
      <t>F (KN)</t>
    </r>
  </si>
  <si>
    <t>实际计算</t>
  </si>
  <si>
    <r>
      <rPr>
        <sz val="11"/>
        <color theme="1"/>
        <rFont val="宋体"/>
        <charset val="134"/>
      </rPr>
      <t>双链条时每根拉力</t>
    </r>
    <r>
      <rPr>
        <sz val="11"/>
        <color theme="1"/>
        <rFont val="Tahoma"/>
        <charset val="134"/>
      </rPr>
      <t>0.6F(KN)</t>
    </r>
  </si>
  <si>
    <r>
      <rPr>
        <sz val="11"/>
        <color theme="1"/>
        <rFont val="宋体"/>
        <charset val="134"/>
      </rPr>
      <t>链条允许最大拉力</t>
    </r>
    <r>
      <rPr>
        <sz val="11"/>
        <color theme="1"/>
        <rFont val="Tahoma"/>
        <charset val="134"/>
      </rPr>
      <t>[F](KN)</t>
    </r>
  </si>
  <si>
    <r>
      <rPr>
        <sz val="11"/>
        <color theme="1"/>
        <rFont val="Tahoma"/>
        <charset val="134"/>
      </rPr>
      <t>3</t>
    </r>
    <r>
      <rPr>
        <sz val="11"/>
        <color theme="1"/>
        <rFont val="宋体"/>
        <charset val="134"/>
      </rPr>
      <t xml:space="preserve">，计算转速和所
</t>
    </r>
    <r>
      <rPr>
        <sz val="11"/>
        <color theme="1"/>
        <rFont val="Tahoma"/>
        <charset val="134"/>
      </rPr>
      <t xml:space="preserve">     </t>
    </r>
    <r>
      <rPr>
        <sz val="11"/>
        <color theme="1"/>
        <rFont val="宋体"/>
        <charset val="134"/>
      </rPr>
      <t>需扭矩</t>
    </r>
    <r>
      <rPr>
        <sz val="11"/>
        <color theme="1"/>
        <rFont val="Tahoma"/>
        <charset val="134"/>
      </rPr>
      <t>/</t>
    </r>
    <r>
      <rPr>
        <sz val="11"/>
        <color theme="1"/>
        <rFont val="宋体"/>
        <charset val="134"/>
      </rPr>
      <t>功率</t>
    </r>
  </si>
  <si>
    <r>
      <rPr>
        <sz val="11"/>
        <color theme="1"/>
        <rFont val="宋体"/>
        <charset val="134"/>
      </rPr>
      <t>链轮齿数</t>
    </r>
    <r>
      <rPr>
        <sz val="11"/>
        <color theme="1"/>
        <rFont val="Tahoma"/>
        <charset val="134"/>
      </rPr>
      <t>Z=Z1=Z2</t>
    </r>
  </si>
  <si>
    <r>
      <rPr>
        <sz val="11"/>
        <color theme="1"/>
        <rFont val="宋体"/>
        <charset val="134"/>
      </rPr>
      <t>节距</t>
    </r>
    <r>
      <rPr>
        <sz val="11"/>
        <color theme="1"/>
        <rFont val="Tahoma"/>
        <charset val="134"/>
      </rPr>
      <t>p(mm)</t>
    </r>
  </si>
  <si>
    <r>
      <rPr>
        <sz val="11"/>
        <color theme="1"/>
        <rFont val="宋体"/>
        <charset val="134"/>
      </rPr>
      <t>链轮转速</t>
    </r>
    <r>
      <rPr>
        <sz val="11"/>
        <color theme="1"/>
        <rFont val="Tahoma"/>
        <charset val="134"/>
      </rPr>
      <t>n(r/min)</t>
    </r>
  </si>
  <si>
    <t>选择动力需要的数据</t>
  </si>
  <si>
    <r>
      <rPr>
        <sz val="11"/>
        <color theme="1"/>
        <rFont val="宋体"/>
        <charset val="134"/>
      </rPr>
      <t>所需功率</t>
    </r>
    <r>
      <rPr>
        <sz val="11"/>
        <color theme="1"/>
        <rFont val="Tahoma"/>
        <charset val="134"/>
      </rPr>
      <t>P(kw)</t>
    </r>
  </si>
  <si>
    <r>
      <rPr>
        <sz val="11"/>
        <color theme="1"/>
        <rFont val="宋体"/>
        <charset val="134"/>
      </rPr>
      <t>滚子链型号</t>
    </r>
  </si>
  <si>
    <r>
      <rPr>
        <sz val="11"/>
        <color theme="1"/>
        <rFont val="宋体"/>
        <charset val="134"/>
      </rPr>
      <t>说明：</t>
    </r>
    <r>
      <rPr>
        <sz val="11"/>
        <color theme="1"/>
        <rFont val="Tahoma"/>
        <charset val="134"/>
      </rPr>
      <t xml:space="preserve"> 
    1</t>
    </r>
    <r>
      <rPr>
        <sz val="11"/>
        <color theme="1"/>
        <rFont val="宋体"/>
        <charset val="134"/>
      </rPr>
      <t>，</t>
    </r>
    <r>
      <rPr>
        <sz val="11"/>
        <color theme="1"/>
        <rFont val="Tahoma"/>
        <charset val="134"/>
      </rPr>
      <t>2.5</t>
    </r>
    <r>
      <rPr>
        <sz val="11"/>
        <color theme="1"/>
        <rFont val="宋体"/>
        <charset val="134"/>
      </rPr>
      <t>倍速原理如图，其中</t>
    </r>
    <r>
      <rPr>
        <sz val="11"/>
        <color theme="1"/>
        <rFont val="Tahoma"/>
        <charset val="134"/>
      </rPr>
      <t>R/r=1.5</t>
    </r>
    <r>
      <rPr>
        <sz val="11"/>
        <color theme="1"/>
        <rFont val="宋体"/>
        <charset val="134"/>
      </rPr>
      <t xml:space="preserve">，
</t>
    </r>
    <r>
      <rPr>
        <sz val="11"/>
        <color theme="1"/>
        <rFont val="Tahoma"/>
        <charset val="134"/>
      </rPr>
      <t xml:space="preserve">        </t>
    </r>
    <r>
      <rPr>
        <sz val="11"/>
        <color theme="1"/>
        <rFont val="宋体"/>
        <charset val="134"/>
      </rPr>
      <t>厂家也有</t>
    </r>
    <r>
      <rPr>
        <sz val="11"/>
        <color theme="1"/>
        <rFont val="Tahoma"/>
        <charset val="134"/>
      </rPr>
      <t>3.5</t>
    </r>
    <r>
      <rPr>
        <sz val="11"/>
        <color theme="1"/>
        <rFont val="宋体"/>
        <charset val="134"/>
      </rPr>
      <t xml:space="preserve">倍速链；
</t>
    </r>
    <r>
      <rPr>
        <sz val="11"/>
        <color theme="1"/>
        <rFont val="Tahoma"/>
        <charset val="134"/>
      </rPr>
      <t xml:space="preserve">
    2</t>
    </r>
    <r>
      <rPr>
        <sz val="11"/>
        <color theme="1"/>
        <rFont val="宋体"/>
        <charset val="134"/>
      </rPr>
      <t>，其他安装配件如图；</t>
    </r>
    <r>
      <rPr>
        <sz val="11"/>
        <color theme="1"/>
        <rFont val="Tahoma"/>
        <charset val="134"/>
      </rPr>
      <t xml:space="preserve">
    3</t>
    </r>
    <r>
      <rPr>
        <sz val="11"/>
        <color theme="1"/>
        <rFont val="宋体"/>
        <charset val="134"/>
      </rPr>
      <t>，滚子材料与性能见附表。</t>
    </r>
  </si>
  <si>
    <r>
      <rPr>
        <sz val="11"/>
        <color theme="1"/>
        <rFont val="宋体"/>
        <charset val="134"/>
      </rPr>
      <t>表</t>
    </r>
    <r>
      <rPr>
        <sz val="11"/>
        <color theme="1"/>
        <rFont val="Tahoma"/>
        <charset val="134"/>
      </rPr>
      <t xml:space="preserve">4 </t>
    </r>
    <r>
      <rPr>
        <sz val="11"/>
        <color theme="1"/>
        <rFont val="宋体"/>
        <charset val="134"/>
      </rPr>
      <t>滚子容许负载</t>
    </r>
    <r>
      <rPr>
        <sz val="11"/>
        <color theme="1"/>
        <rFont val="Tahoma"/>
        <charset val="134"/>
      </rPr>
      <t xml:space="preserve"> (KN/m,{kg/m})</t>
    </r>
  </si>
  <si>
    <r>
      <rPr>
        <sz val="11"/>
        <color theme="1"/>
        <rFont val="宋体"/>
        <charset val="134"/>
      </rPr>
      <t xml:space="preserve">文档信息
编写：煜宸
参考：《椿本小型输送链条样本》
</t>
    </r>
    <r>
      <rPr>
        <sz val="11"/>
        <color theme="1"/>
        <rFont val="Tahoma"/>
        <charset val="134"/>
      </rPr>
      <t xml:space="preserve">         </t>
    </r>
    <r>
      <rPr>
        <sz val="11"/>
        <color theme="1"/>
        <rFont val="宋体"/>
        <charset val="134"/>
      </rPr>
      <t>《倍速链选型软件》</t>
    </r>
    <r>
      <rPr>
        <sz val="11"/>
        <color theme="1"/>
        <rFont val="Tahoma"/>
        <charset val="134"/>
      </rPr>
      <t>——(</t>
    </r>
    <r>
      <rPr>
        <sz val="11"/>
        <color theme="1"/>
        <rFont val="宋体"/>
        <charset val="134"/>
      </rPr>
      <t>前桥教育</t>
    </r>
    <r>
      <rPr>
        <sz val="11"/>
        <color theme="1"/>
        <rFont val="Tahoma"/>
        <charset val="134"/>
      </rPr>
      <t>)</t>
    </r>
    <r>
      <rPr>
        <sz val="11"/>
        <color theme="1"/>
        <rFont val="宋体"/>
        <charset val="134"/>
      </rPr>
      <t>宣言</t>
    </r>
    <r>
      <rPr>
        <sz val="11"/>
        <color theme="1"/>
        <rFont val="Tahoma"/>
        <charset val="134"/>
      </rPr>
      <t xml:space="preserve">         </t>
    </r>
    <r>
      <rPr>
        <sz val="11"/>
        <color theme="1"/>
        <rFont val="宋体"/>
        <charset val="134"/>
      </rPr>
      <t xml:space="preserve">
</t>
    </r>
    <r>
      <rPr>
        <sz val="11"/>
        <color theme="1"/>
        <rFont val="Tahoma"/>
        <charset val="134"/>
      </rPr>
      <t xml:space="preserve">                                                                          2018.8.8   </t>
    </r>
  </si>
  <si>
    <r>
      <rPr>
        <sz val="11"/>
        <color theme="1"/>
        <rFont val="宋体"/>
        <charset val="134"/>
      </rPr>
      <t>表</t>
    </r>
    <r>
      <rPr>
        <sz val="11"/>
        <color theme="1"/>
        <rFont val="Tahoma"/>
        <charset val="134"/>
      </rPr>
      <t xml:space="preserve">5 </t>
    </r>
    <r>
      <rPr>
        <sz val="11"/>
        <color theme="1"/>
        <rFont val="宋体"/>
        <charset val="134"/>
      </rPr>
      <t>倍速链参数</t>
    </r>
  </si>
  <si>
    <t>节距</t>
  </si>
  <si>
    <r>
      <rPr>
        <sz val="11"/>
        <color theme="1"/>
        <rFont val="宋体"/>
        <charset val="134"/>
      </rPr>
      <t>附表</t>
    </r>
    <r>
      <rPr>
        <sz val="11"/>
        <color theme="1"/>
        <rFont val="Tahoma"/>
        <charset val="134"/>
      </rPr>
      <t xml:space="preserve"> </t>
    </r>
    <r>
      <rPr>
        <sz val="11"/>
        <color theme="1"/>
        <rFont val="宋体"/>
        <charset val="134"/>
      </rPr>
      <t>滚子材料与性能</t>
    </r>
  </si>
  <si>
    <r>
      <rPr>
        <sz val="11"/>
        <color theme="1"/>
        <rFont val="宋体"/>
        <charset val="134"/>
      </rPr>
      <t>表6</t>
    </r>
    <r>
      <rPr>
        <sz val="11"/>
        <color theme="1"/>
        <rFont val="Tahoma"/>
        <charset val="134"/>
      </rPr>
      <t xml:space="preserve">  </t>
    </r>
    <r>
      <rPr>
        <sz val="11"/>
        <color theme="1"/>
        <rFont val="宋体"/>
        <charset val="134"/>
      </rPr>
      <t>链轮选用齿数系列</t>
    </r>
  </si>
  <si>
    <r>
      <rPr>
        <b/>
        <sz val="16"/>
        <color theme="1"/>
        <rFont val="宋体"/>
        <charset val="134"/>
      </rPr>
      <t>气缸选型向导</t>
    </r>
    <r>
      <rPr>
        <b/>
        <sz val="16"/>
        <color theme="1"/>
        <rFont val="Tahoma"/>
        <charset val="134"/>
      </rPr>
      <t>(</t>
    </r>
    <r>
      <rPr>
        <b/>
        <sz val="16"/>
        <color theme="1"/>
        <rFont val="宋体"/>
        <charset val="134"/>
      </rPr>
      <t>以</t>
    </r>
    <r>
      <rPr>
        <b/>
        <sz val="16"/>
        <color theme="1"/>
        <rFont val="Tahoma"/>
        <charset val="134"/>
      </rPr>
      <t>SMC</t>
    </r>
    <r>
      <rPr>
        <b/>
        <sz val="16"/>
        <color theme="1"/>
        <rFont val="宋体"/>
        <charset val="134"/>
      </rPr>
      <t>和亚德客为例</t>
    </r>
    <r>
      <rPr>
        <b/>
        <sz val="16"/>
        <color theme="1"/>
        <rFont val="Tahoma"/>
        <charset val="134"/>
      </rPr>
      <t>)</t>
    </r>
  </si>
  <si>
    <t>已知条件：布局方式、负载重量、工作压力、摩擦系数、安全系数</t>
  </si>
  <si>
    <t>布局方式示意图</t>
  </si>
  <si>
    <r>
      <rPr>
        <sz val="11"/>
        <color theme="1"/>
        <rFont val="宋体"/>
        <charset val="134"/>
      </rPr>
      <t>附</t>
    </r>
    <r>
      <rPr>
        <sz val="11"/>
        <color theme="1"/>
        <rFont val="Tahoma"/>
        <charset val="134"/>
      </rPr>
      <t xml:space="preserve"> </t>
    </r>
    <r>
      <rPr>
        <sz val="11"/>
        <color theme="1"/>
        <rFont val="宋体"/>
        <charset val="134"/>
      </rPr>
      <t>气缸速度参考</t>
    </r>
    <r>
      <rPr>
        <sz val="11"/>
        <color theme="1"/>
        <rFont val="Tahoma"/>
        <charset val="134"/>
      </rPr>
      <t>(CMD)</t>
    </r>
  </si>
  <si>
    <r>
      <rPr>
        <sz val="11"/>
        <color theme="1"/>
        <rFont val="宋体"/>
        <charset val="134"/>
      </rPr>
      <t>倾斜度</t>
    </r>
    <r>
      <rPr>
        <sz val="11"/>
        <color theme="1"/>
        <rFont val="Tahoma"/>
        <charset val="134"/>
      </rPr>
      <t>θ(°)</t>
    </r>
  </si>
  <si>
    <r>
      <rPr>
        <sz val="11"/>
        <color theme="1"/>
        <rFont val="宋体"/>
        <charset val="134"/>
      </rPr>
      <t>水平</t>
    </r>
    <r>
      <rPr>
        <sz val="11"/>
        <color theme="1"/>
        <rFont val="Tahoma"/>
        <charset val="134"/>
      </rPr>
      <t>0°</t>
    </r>
    <r>
      <rPr>
        <sz val="11"/>
        <color theme="1"/>
        <rFont val="宋体"/>
        <charset val="134"/>
      </rPr>
      <t>，垂直</t>
    </r>
    <r>
      <rPr>
        <sz val="11"/>
        <color theme="1"/>
        <rFont val="Tahoma"/>
        <charset val="134"/>
      </rPr>
      <t>90°</t>
    </r>
  </si>
  <si>
    <t>负载重量(kg)</t>
  </si>
  <si>
    <r>
      <rPr>
        <sz val="11"/>
        <color theme="1"/>
        <rFont val="宋体"/>
        <charset val="134"/>
      </rPr>
      <t>工作气压力</t>
    </r>
    <r>
      <rPr>
        <sz val="11"/>
        <color theme="1"/>
        <rFont val="Tahoma"/>
        <charset val="134"/>
      </rPr>
      <t>P(MPa)</t>
    </r>
  </si>
  <si>
    <t>应≤减压阀进口压力*85%</t>
  </si>
  <si>
    <r>
      <rPr>
        <sz val="11"/>
        <color theme="1"/>
        <rFont val="宋体"/>
        <charset val="134"/>
      </rPr>
      <t>摩擦系数</t>
    </r>
    <r>
      <rPr>
        <sz val="11"/>
        <color theme="1"/>
        <rFont val="Tahoma"/>
        <charset val="134"/>
      </rPr>
      <t>μ</t>
    </r>
  </si>
  <si>
    <t>参考说明</t>
  </si>
  <si>
    <r>
      <rPr>
        <sz val="11"/>
        <color theme="1"/>
        <rFont val="宋体"/>
        <charset val="134"/>
      </rPr>
      <t>负载率</t>
    </r>
    <r>
      <rPr>
        <sz val="11"/>
        <color theme="1"/>
        <rFont val="Tahoma"/>
        <charset val="134"/>
      </rPr>
      <t>(</t>
    </r>
    <r>
      <rPr>
        <sz val="11"/>
        <color theme="1"/>
        <rFont val="宋体"/>
        <charset val="134"/>
      </rPr>
      <t>安全系数</t>
    </r>
    <r>
      <rPr>
        <sz val="11"/>
        <color theme="1"/>
        <rFont val="Tahoma"/>
        <charset val="134"/>
      </rPr>
      <t>)η</t>
    </r>
  </si>
  <si>
    <r>
      <rPr>
        <sz val="11"/>
        <color theme="1"/>
        <rFont val="宋体"/>
        <charset val="134"/>
      </rPr>
      <t>表</t>
    </r>
    <r>
      <rPr>
        <sz val="11"/>
        <color theme="1"/>
        <rFont val="Tahoma"/>
        <charset val="134"/>
      </rPr>
      <t xml:space="preserve">1 </t>
    </r>
    <r>
      <rPr>
        <sz val="11"/>
        <color theme="1"/>
        <rFont val="宋体"/>
        <charset val="134"/>
      </rPr>
      <t>负载率η常取</t>
    </r>
    <r>
      <rPr>
        <sz val="11"/>
        <color theme="1"/>
        <rFont val="Tahoma"/>
        <charset val="134"/>
      </rPr>
      <t>0.8, 0.65, 0.5, 0.35</t>
    </r>
  </si>
  <si>
    <r>
      <rPr>
        <sz val="11"/>
        <color theme="1"/>
        <rFont val="宋体"/>
        <charset val="134"/>
      </rPr>
      <t>气缸运行时间</t>
    </r>
    <r>
      <rPr>
        <sz val="11"/>
        <color theme="1"/>
        <rFont val="Tahoma"/>
        <charset val="134"/>
      </rPr>
      <t>t(s)</t>
    </r>
  </si>
  <si>
    <r>
      <rPr>
        <sz val="11"/>
        <color theme="1"/>
        <rFont val="宋体"/>
        <charset val="134"/>
      </rPr>
      <t>根据生产定，</t>
    </r>
    <r>
      <rPr>
        <sz val="11"/>
        <color theme="1"/>
        <rFont val="Tahoma"/>
        <charset val="134"/>
      </rPr>
      <t>0.5~1</t>
    </r>
  </si>
  <si>
    <r>
      <rPr>
        <sz val="11"/>
        <color theme="1"/>
        <rFont val="宋体"/>
        <charset val="134"/>
      </rPr>
      <t>速度</t>
    </r>
    <r>
      <rPr>
        <sz val="11"/>
        <color theme="1"/>
        <rFont val="Tahoma"/>
        <charset val="134"/>
      </rPr>
      <t>(mm/s)</t>
    </r>
  </si>
  <si>
    <t>静止且非重要</t>
  </si>
  <si>
    <t>＜50</t>
  </si>
  <si>
    <t>50~500</t>
  </si>
  <si>
    <r>
      <rPr>
        <sz val="11"/>
        <color theme="1"/>
        <rFont val="宋体"/>
        <charset val="134"/>
      </rPr>
      <t>＞</t>
    </r>
    <r>
      <rPr>
        <sz val="11"/>
        <color theme="1"/>
        <rFont val="Tahoma"/>
        <charset val="134"/>
      </rPr>
      <t>500</t>
    </r>
  </si>
  <si>
    <t>附：亚德客气缸理论出力表</t>
  </si>
  <si>
    <r>
      <rPr>
        <sz val="11"/>
        <color theme="1"/>
        <rFont val="宋体"/>
        <charset val="134"/>
      </rPr>
      <t>气缸启动时间</t>
    </r>
    <r>
      <rPr>
        <sz val="11"/>
        <color theme="1"/>
        <rFont val="Tahoma"/>
        <charset val="134"/>
      </rPr>
      <t>t0(s)</t>
    </r>
  </si>
  <si>
    <r>
      <rPr>
        <sz val="11"/>
        <color theme="1"/>
        <rFont val="宋体"/>
        <charset val="134"/>
      </rPr>
      <t>一般都是</t>
    </r>
    <r>
      <rPr>
        <sz val="11"/>
        <color theme="1"/>
        <rFont val="Tahoma"/>
        <charset val="134"/>
      </rPr>
      <t>0.1</t>
    </r>
  </si>
  <si>
    <t>η</t>
  </si>
  <si>
    <r>
      <rPr>
        <sz val="11"/>
        <color theme="1"/>
        <rFont val="宋体"/>
        <charset val="134"/>
      </rPr>
      <t>≤</t>
    </r>
    <r>
      <rPr>
        <sz val="11"/>
        <color theme="1"/>
        <rFont val="Tahoma"/>
        <charset val="134"/>
      </rPr>
      <t>0.8</t>
    </r>
  </si>
  <si>
    <r>
      <rPr>
        <sz val="11"/>
        <color theme="1"/>
        <rFont val="宋体"/>
        <charset val="134"/>
      </rPr>
      <t>≤</t>
    </r>
    <r>
      <rPr>
        <sz val="11"/>
        <color theme="1"/>
        <rFont val="Tahoma"/>
        <charset val="134"/>
      </rPr>
      <t>0.65</t>
    </r>
  </si>
  <si>
    <r>
      <rPr>
        <sz val="11"/>
        <color theme="1"/>
        <rFont val="宋体"/>
        <charset val="134"/>
      </rPr>
      <t>≤</t>
    </r>
    <r>
      <rPr>
        <sz val="11"/>
        <color theme="1"/>
        <rFont val="Tahoma"/>
        <charset val="134"/>
      </rPr>
      <t>0.5</t>
    </r>
  </si>
  <si>
    <r>
      <rPr>
        <sz val="11"/>
        <color theme="1"/>
        <rFont val="宋体"/>
        <charset val="134"/>
      </rPr>
      <t>≤</t>
    </r>
    <r>
      <rPr>
        <sz val="11"/>
        <color theme="1"/>
        <rFont val="Tahoma"/>
        <charset val="134"/>
      </rPr>
      <t>0.35</t>
    </r>
  </si>
  <si>
    <r>
      <rPr>
        <sz val="11"/>
        <color theme="1"/>
        <rFont val="宋体"/>
        <charset val="134"/>
      </rPr>
      <t>气缸刹车时间</t>
    </r>
    <r>
      <rPr>
        <sz val="11"/>
        <color theme="1"/>
        <rFont val="Tahoma"/>
        <charset val="134"/>
      </rPr>
      <t>t1(s)</t>
    </r>
  </si>
  <si>
    <r>
      <rPr>
        <sz val="11"/>
        <color theme="1"/>
        <rFont val="宋体"/>
        <charset val="134"/>
      </rPr>
      <t>一般</t>
    </r>
    <r>
      <rPr>
        <sz val="11"/>
        <color theme="1"/>
        <rFont val="Tahoma"/>
        <charset val="134"/>
      </rPr>
      <t>=t0</t>
    </r>
  </si>
  <si>
    <r>
      <rPr>
        <sz val="11"/>
        <color theme="1"/>
        <rFont val="宋体"/>
        <charset val="134"/>
      </rPr>
      <t>负载行程</t>
    </r>
    <r>
      <rPr>
        <sz val="11"/>
        <color theme="1"/>
        <rFont val="Tahoma"/>
        <charset val="134"/>
      </rPr>
      <t>L0(mm)</t>
    </r>
  </si>
  <si>
    <r>
      <rPr>
        <sz val="11"/>
        <color theme="1"/>
        <rFont val="宋体"/>
        <charset val="134"/>
      </rPr>
      <t>表</t>
    </r>
    <r>
      <rPr>
        <sz val="11"/>
        <color theme="1"/>
        <rFont val="Tahoma"/>
        <charset val="134"/>
      </rPr>
      <t xml:space="preserve">2 </t>
    </r>
    <r>
      <rPr>
        <sz val="11"/>
        <color theme="1"/>
        <rFont val="宋体"/>
        <charset val="134"/>
      </rPr>
      <t>双作用气缸出力表</t>
    </r>
    <r>
      <rPr>
        <sz val="11"/>
        <color theme="1"/>
        <rFont val="Tahoma"/>
        <charset val="134"/>
      </rPr>
      <t>(SMC)</t>
    </r>
  </si>
  <si>
    <r>
      <rPr>
        <sz val="11"/>
        <color theme="1"/>
        <rFont val="Tahoma"/>
        <charset val="134"/>
      </rPr>
      <t>1</t>
    </r>
    <r>
      <rPr>
        <sz val="11"/>
        <color theme="1"/>
        <rFont val="宋体"/>
        <charset val="134"/>
      </rPr>
      <t xml:space="preserve">，计算所需最小
</t>
    </r>
    <r>
      <rPr>
        <sz val="11"/>
        <color theme="1"/>
        <rFont val="Tahoma"/>
        <charset val="134"/>
      </rPr>
      <t xml:space="preserve">     </t>
    </r>
    <r>
      <rPr>
        <sz val="11"/>
        <color theme="1"/>
        <rFont val="宋体"/>
        <charset val="134"/>
      </rPr>
      <t>缸径</t>
    </r>
  </si>
  <si>
    <r>
      <rPr>
        <sz val="11"/>
        <color theme="1"/>
        <rFont val="宋体"/>
        <charset val="134"/>
      </rPr>
      <t>最大线速度</t>
    </r>
    <r>
      <rPr>
        <sz val="11"/>
        <color theme="1"/>
        <rFont val="Tahoma"/>
        <charset val="134"/>
      </rPr>
      <t>Vmax(m/s)</t>
    </r>
  </si>
  <si>
    <r>
      <rPr>
        <sz val="11"/>
        <color theme="1"/>
        <rFont val="宋体"/>
        <charset val="134"/>
      </rPr>
      <t>加速度</t>
    </r>
    <r>
      <rPr>
        <sz val="11"/>
        <color theme="1"/>
        <rFont val="Tahoma"/>
        <charset val="134"/>
      </rPr>
      <t>a(m/s²)</t>
    </r>
  </si>
  <si>
    <r>
      <rPr>
        <sz val="11"/>
        <color theme="1"/>
        <rFont val="宋体"/>
        <charset val="134"/>
      </rPr>
      <t>负载需最小力</t>
    </r>
    <r>
      <rPr>
        <sz val="11"/>
        <color theme="1"/>
        <rFont val="Tahoma"/>
        <charset val="134"/>
      </rPr>
      <t>F0(N)</t>
    </r>
  </si>
  <si>
    <t>未考虑η</t>
  </si>
  <si>
    <r>
      <rPr>
        <sz val="11"/>
        <color theme="1"/>
        <rFont val="宋体"/>
        <charset val="134"/>
      </rPr>
      <t>气缸理论出力</t>
    </r>
    <r>
      <rPr>
        <sz val="11"/>
        <color theme="1"/>
        <rFont val="Tahoma"/>
        <charset val="134"/>
      </rPr>
      <t>F(N)</t>
    </r>
  </si>
  <si>
    <t>已考虑η，对应表2</t>
  </si>
  <si>
    <r>
      <rPr>
        <sz val="11"/>
        <color theme="1"/>
        <rFont val="宋体"/>
        <charset val="134"/>
      </rPr>
      <t>推力最小缸径</t>
    </r>
    <r>
      <rPr>
        <sz val="11"/>
        <color theme="1"/>
        <rFont val="Tahoma"/>
        <charset val="134"/>
      </rPr>
      <t>D1</t>
    </r>
  </si>
  <si>
    <r>
      <rPr>
        <sz val="11"/>
        <color theme="1"/>
        <rFont val="宋体"/>
        <charset val="134"/>
      </rPr>
      <t>也可直接查样本
表</t>
    </r>
    <r>
      <rPr>
        <sz val="11"/>
        <color theme="1"/>
        <rFont val="Tahoma"/>
        <charset val="134"/>
      </rPr>
      <t>2</t>
    </r>
  </si>
  <si>
    <r>
      <rPr>
        <sz val="11"/>
        <color theme="1"/>
        <rFont val="宋体"/>
        <charset val="134"/>
      </rPr>
      <t>初设杆径</t>
    </r>
    <r>
      <rPr>
        <sz val="11"/>
        <color theme="1"/>
        <rFont val="Tahoma"/>
        <charset val="134"/>
      </rPr>
      <t>d0</t>
    </r>
  </si>
  <si>
    <r>
      <rPr>
        <sz val="11"/>
        <color theme="1"/>
        <rFont val="宋体"/>
        <charset val="134"/>
      </rPr>
      <t>拉力最小缸径</t>
    </r>
    <r>
      <rPr>
        <sz val="11"/>
        <color theme="1"/>
        <rFont val="Tahoma"/>
        <charset val="134"/>
      </rPr>
      <t>D2</t>
    </r>
  </si>
  <si>
    <r>
      <rPr>
        <sz val="11"/>
        <color theme="1"/>
        <rFont val="Tahoma"/>
        <charset val="134"/>
      </rPr>
      <t>2</t>
    </r>
    <r>
      <rPr>
        <sz val="11"/>
        <color theme="1"/>
        <rFont val="宋体"/>
        <charset val="134"/>
      </rPr>
      <t>，确定气缸行程</t>
    </r>
    <r>
      <rPr>
        <sz val="11"/>
        <color theme="1"/>
        <rFont val="Tahoma"/>
        <charset val="134"/>
      </rPr>
      <t xml:space="preserve">, 
     </t>
    </r>
    <r>
      <rPr>
        <sz val="11"/>
        <color theme="1"/>
        <rFont val="宋体"/>
        <charset val="134"/>
      </rPr>
      <t>确定基本型号</t>
    </r>
  </si>
  <si>
    <r>
      <rPr>
        <sz val="11"/>
        <color theme="1"/>
        <rFont val="宋体"/>
        <charset val="134"/>
      </rPr>
      <t>气缸行程选择</t>
    </r>
    <r>
      <rPr>
        <sz val="11"/>
        <color theme="1"/>
        <rFont val="Tahoma"/>
        <charset val="134"/>
      </rPr>
      <t>L(mm)</t>
    </r>
  </si>
  <si>
    <r>
      <rPr>
        <sz val="11"/>
        <rFont val="宋体"/>
        <charset val="134"/>
      </rPr>
      <t>表</t>
    </r>
    <r>
      <rPr>
        <sz val="11"/>
        <rFont val="Tahoma"/>
        <charset val="134"/>
      </rPr>
      <t>3</t>
    </r>
  </si>
  <si>
    <t>基本型号</t>
  </si>
  <si>
    <t>CJ 16x100</t>
  </si>
  <si>
    <r>
      <rPr>
        <sz val="11"/>
        <rFont val="宋体"/>
        <charset val="134"/>
      </rPr>
      <t>种类</t>
    </r>
    <r>
      <rPr>
        <sz val="11"/>
        <rFont val="Tahoma"/>
        <charset val="134"/>
      </rPr>
      <t xml:space="preserve"> </t>
    </r>
    <r>
      <rPr>
        <sz val="11"/>
        <rFont val="宋体"/>
        <charset val="134"/>
      </rPr>
      <t>缸径</t>
    </r>
    <r>
      <rPr>
        <sz val="11"/>
        <rFont val="Tahoma"/>
        <charset val="134"/>
      </rPr>
      <t>x</t>
    </r>
    <r>
      <rPr>
        <sz val="11"/>
        <rFont val="宋体"/>
        <charset val="134"/>
      </rPr>
      <t>行程</t>
    </r>
  </si>
  <si>
    <r>
      <rPr>
        <sz val="11"/>
        <color theme="1"/>
        <rFont val="Tahoma"/>
        <charset val="134"/>
      </rPr>
      <t>3</t>
    </r>
    <r>
      <rPr>
        <sz val="11"/>
        <color theme="1"/>
        <rFont val="宋体"/>
        <charset val="134"/>
      </rPr>
      <t>，确定安装配件</t>
    </r>
    <r>
      <rPr>
        <sz val="11"/>
        <color theme="1"/>
        <rFont val="Tahoma"/>
        <charset val="134"/>
      </rPr>
      <t xml:space="preserve"> 
    (</t>
    </r>
    <r>
      <rPr>
        <sz val="11"/>
        <color theme="1"/>
        <rFont val="宋体"/>
        <charset val="134"/>
      </rPr>
      <t>选填</t>
    </r>
    <r>
      <rPr>
        <sz val="11"/>
        <color theme="1"/>
        <rFont val="Tahoma"/>
        <charset val="134"/>
      </rPr>
      <t>)</t>
    </r>
    <r>
      <rPr>
        <sz val="11"/>
        <color theme="1"/>
        <rFont val="宋体"/>
        <charset val="134"/>
      </rPr>
      <t xml:space="preserve">
</t>
    </r>
    <r>
      <rPr>
        <sz val="11"/>
        <color theme="1"/>
        <rFont val="Tahoma"/>
        <charset val="134"/>
      </rPr>
      <t xml:space="preserve">     </t>
    </r>
  </si>
  <si>
    <t>安装方式</t>
  </si>
  <si>
    <t>基本型</t>
  </si>
  <si>
    <t>缓冲方式</t>
  </si>
  <si>
    <t>橡胶缓冲</t>
  </si>
  <si>
    <t>是否有磁石</t>
  </si>
  <si>
    <t>接头选择</t>
  </si>
  <si>
    <t>I接头</t>
  </si>
  <si>
    <r>
      <rPr>
        <sz val="12"/>
        <color theme="1"/>
        <rFont val="宋体"/>
        <charset val="134"/>
      </rPr>
      <t>说明：</t>
    </r>
    <r>
      <rPr>
        <sz val="12"/>
        <color theme="1"/>
        <rFont val="Tahoma"/>
        <charset val="134"/>
      </rPr>
      <t xml:space="preserve"> 
    1</t>
    </r>
    <r>
      <rPr>
        <sz val="12"/>
        <color theme="1"/>
        <rFont val="宋体"/>
        <charset val="134"/>
      </rPr>
      <t>，提示：气动模式下的机构设计，很多已知条件本身就难以量化，兼之应用工况非常复杂多变，</t>
    </r>
    <r>
      <rPr>
        <sz val="12"/>
        <color rgb="FFFF0000"/>
        <rFont val="宋体"/>
        <charset val="134"/>
      </rPr>
      <t>大部分计算只需考虑“</t>
    </r>
    <r>
      <rPr>
        <sz val="12"/>
        <color rgb="FFFF0000"/>
        <rFont val="Tahoma"/>
        <charset val="134"/>
      </rPr>
      <t>worst case</t>
    </r>
    <r>
      <rPr>
        <sz val="12"/>
        <color rgb="FFFF0000"/>
        <rFont val="宋体"/>
        <charset val="134"/>
      </rPr>
      <t>”（最糟糕状态）</t>
    </r>
    <r>
      <rPr>
        <sz val="12"/>
        <color theme="1"/>
        <rFont val="宋体"/>
        <charset val="134"/>
      </rPr>
      <t>，计算的意义在于让我们规避不必要的失误。举个例子，计算出某场合需要选用一个缸径</t>
    </r>
    <r>
      <rPr>
        <sz val="12"/>
        <color theme="1"/>
        <rFont val="Tahoma"/>
        <charset val="134"/>
      </rPr>
      <t>Φ40</t>
    </r>
    <r>
      <rPr>
        <sz val="12"/>
        <color theme="1"/>
        <rFont val="宋体"/>
        <charset val="134"/>
      </rPr>
      <t>的气缸，这就是</t>
    </r>
    <r>
      <rPr>
        <sz val="12"/>
        <color rgb="FFFF0000"/>
        <rFont val="宋体"/>
        <charset val="134"/>
      </rPr>
      <t>底线</t>
    </r>
    <r>
      <rPr>
        <sz val="12"/>
        <color theme="1"/>
        <rFont val="宋体"/>
        <charset val="134"/>
      </rPr>
      <t>，但完全没有必要说，给个安全系数，然后选一个</t>
    </r>
    <r>
      <rPr>
        <sz val="12"/>
        <color theme="1"/>
        <rFont val="Tahoma"/>
        <charset val="134"/>
      </rPr>
      <t>“</t>
    </r>
    <r>
      <rPr>
        <sz val="12"/>
        <color theme="1"/>
        <rFont val="宋体"/>
        <charset val="134"/>
      </rPr>
      <t>精确</t>
    </r>
    <r>
      <rPr>
        <sz val="12"/>
        <color theme="1"/>
        <rFont val="Tahoma"/>
        <charset val="134"/>
      </rPr>
      <t>”</t>
    </r>
    <r>
      <rPr>
        <sz val="12"/>
        <color theme="1"/>
        <rFont val="宋体"/>
        <charset val="134"/>
      </rPr>
      <t>缸径，实际的做法，应该是根据各种考虑，可能会选缸径</t>
    </r>
    <r>
      <rPr>
        <sz val="12"/>
        <color theme="1"/>
        <rFont val="Tahoma"/>
        <charset val="134"/>
      </rPr>
      <t>Φ50</t>
    </r>
    <r>
      <rPr>
        <sz val="12"/>
        <color theme="1"/>
        <rFont val="宋体"/>
        <charset val="134"/>
      </rPr>
      <t>或者</t>
    </r>
    <r>
      <rPr>
        <sz val="12"/>
        <color theme="1"/>
        <rFont val="Tahoma"/>
        <charset val="134"/>
      </rPr>
      <t>Φ63</t>
    </r>
    <r>
      <rPr>
        <sz val="12"/>
        <color theme="1"/>
        <rFont val="宋体"/>
        <charset val="134"/>
      </rPr>
      <t>乃至</t>
    </r>
    <r>
      <rPr>
        <sz val="12"/>
        <color theme="1"/>
        <rFont val="Tahoma"/>
        <charset val="134"/>
      </rPr>
      <t>Φ100</t>
    </r>
    <r>
      <rPr>
        <sz val="12"/>
        <color theme="1"/>
        <rFont val="宋体"/>
        <charset val="134"/>
      </rPr>
      <t xml:space="preserve">。
</t>
    </r>
    <r>
      <rPr>
        <sz val="12"/>
        <color theme="1"/>
        <rFont val="Tahoma"/>
        <charset val="134"/>
      </rPr>
      <t xml:space="preserve">    2</t>
    </r>
    <r>
      <rPr>
        <sz val="12"/>
        <color theme="1"/>
        <rFont val="宋体"/>
        <charset val="134"/>
      </rPr>
      <t>，整个气缸选型最关键的是，工况确认和拟定已知条件上，而不是落在“用什么公式来计算”。换言之，从气缸选型的实战意义看，如下图所示的思路，</t>
    </r>
    <r>
      <rPr>
        <sz val="12"/>
        <color theme="1"/>
        <rFont val="Tahoma"/>
        <charset val="134"/>
      </rPr>
      <t>A</t>
    </r>
    <r>
      <rPr>
        <sz val="12"/>
        <color theme="1"/>
        <rFont val="宋体"/>
        <charset val="134"/>
      </rPr>
      <t xml:space="preserve">部分才是重点和难点，也是有设计意义的部分。
</t>
    </r>
    <r>
      <rPr>
        <sz val="12"/>
        <color theme="1"/>
        <rFont val="Tahoma"/>
        <charset val="134"/>
      </rPr>
      <t xml:space="preserve">    3</t>
    </r>
    <r>
      <rPr>
        <sz val="12"/>
        <color theme="1"/>
        <rFont val="宋体"/>
        <charset val="134"/>
      </rPr>
      <t>，普通直线滑轨安装后的摩擦系数为</t>
    </r>
    <r>
      <rPr>
        <sz val="12"/>
        <color theme="1"/>
        <rFont val="Tahoma"/>
        <charset val="134"/>
      </rPr>
      <t>0.01~0.02</t>
    </r>
    <r>
      <rPr>
        <sz val="12"/>
        <color theme="1"/>
        <rFont val="宋体"/>
        <charset val="134"/>
      </rPr>
      <t>，考虑到预压力、多轨道平行度等影响，单条滑轨建议放大为</t>
    </r>
    <r>
      <rPr>
        <sz val="12"/>
        <color theme="1"/>
        <rFont val="Tahoma"/>
        <charset val="134"/>
      </rPr>
      <t>0.02</t>
    </r>
    <r>
      <rPr>
        <sz val="12"/>
        <color theme="1"/>
        <rFont val="宋体"/>
        <charset val="134"/>
      </rPr>
      <t>以上，多轨道建议放大到</t>
    </r>
    <r>
      <rPr>
        <sz val="12"/>
        <color theme="1"/>
        <rFont val="Tahoma"/>
        <charset val="134"/>
      </rPr>
      <t>0.05~0.1(</t>
    </r>
    <r>
      <rPr>
        <sz val="12"/>
        <color theme="1"/>
        <rFont val="宋体"/>
        <charset val="134"/>
      </rPr>
      <t>图惜注</t>
    </r>
    <r>
      <rPr>
        <sz val="12"/>
        <color theme="1"/>
        <rFont val="Tahoma"/>
        <charset val="134"/>
      </rPr>
      <t>)</t>
    </r>
    <r>
      <rPr>
        <sz val="12"/>
        <color theme="1"/>
        <rFont val="宋体"/>
        <charset val="134"/>
      </rPr>
      <t>。</t>
    </r>
  </si>
  <si>
    <t>附：亚德客迷你气缸标准行程表</t>
  </si>
  <si>
    <r>
      <rPr>
        <sz val="11"/>
        <color theme="1"/>
        <rFont val="宋体"/>
        <charset val="134"/>
      </rPr>
      <t>表</t>
    </r>
    <r>
      <rPr>
        <sz val="11"/>
        <color theme="1"/>
        <rFont val="Tahoma"/>
        <charset val="134"/>
      </rPr>
      <t xml:space="preserve">3 </t>
    </r>
    <r>
      <rPr>
        <sz val="11"/>
        <color theme="1"/>
        <rFont val="宋体"/>
        <charset val="134"/>
      </rPr>
      <t>普通气缸缸径与行程</t>
    </r>
    <r>
      <rPr>
        <sz val="11"/>
        <color theme="1"/>
        <rFont val="Tahoma"/>
        <charset val="134"/>
      </rPr>
      <t>(SMC)</t>
    </r>
  </si>
  <si>
    <r>
      <rPr>
        <sz val="11"/>
        <color theme="1"/>
        <rFont val="宋体"/>
        <charset val="134"/>
      </rPr>
      <t>文档信息
编写：煜宸
参考：《</t>
    </r>
    <r>
      <rPr>
        <sz val="11"/>
        <color theme="1"/>
        <rFont val="Tahoma"/>
        <charset val="134"/>
      </rPr>
      <t>SMC</t>
    </r>
    <r>
      <rPr>
        <sz val="11"/>
        <color theme="1"/>
        <rFont val="宋体"/>
        <charset val="134"/>
      </rPr>
      <t xml:space="preserve">气动元件选型步骤》
</t>
    </r>
    <r>
      <rPr>
        <sz val="11"/>
        <color theme="1"/>
        <rFont val="Tahoma"/>
        <charset val="134"/>
      </rPr>
      <t xml:space="preserve">         </t>
    </r>
    <r>
      <rPr>
        <sz val="11"/>
        <color theme="1"/>
        <rFont val="宋体"/>
        <charset val="134"/>
      </rPr>
      <t>《亚德客产品型录</t>
    </r>
    <r>
      <rPr>
        <sz val="11"/>
        <color theme="1"/>
        <rFont val="Tahoma"/>
        <charset val="134"/>
      </rPr>
      <t>2018</t>
    </r>
    <r>
      <rPr>
        <sz val="11"/>
        <color theme="1"/>
        <rFont val="宋体"/>
        <charset val="134"/>
      </rPr>
      <t xml:space="preserve">》
</t>
    </r>
    <r>
      <rPr>
        <sz val="11"/>
        <color theme="1"/>
        <rFont val="Tahoma"/>
        <charset val="134"/>
      </rPr>
      <t xml:space="preserve">         </t>
    </r>
    <r>
      <rPr>
        <sz val="11"/>
        <color theme="1"/>
        <rFont val="宋体"/>
        <charset val="134"/>
      </rPr>
      <t>《普通气缸选型计算》</t>
    </r>
    <r>
      <rPr>
        <sz val="11"/>
        <color theme="1"/>
        <rFont val="Tahoma"/>
        <charset val="134"/>
      </rPr>
      <t>——(</t>
    </r>
    <r>
      <rPr>
        <sz val="11"/>
        <color theme="1"/>
        <rFont val="宋体"/>
        <charset val="134"/>
      </rPr>
      <t>前桥教育</t>
    </r>
    <r>
      <rPr>
        <sz val="11"/>
        <color theme="1"/>
        <rFont val="Tahoma"/>
        <charset val="134"/>
      </rPr>
      <t xml:space="preserve">) </t>
    </r>
    <r>
      <rPr>
        <sz val="11"/>
        <color theme="1"/>
        <rFont val="宋体"/>
        <charset val="134"/>
      </rPr>
      <t xml:space="preserve">宣言
</t>
    </r>
    <r>
      <rPr>
        <sz val="11"/>
        <color theme="1"/>
        <rFont val="Tahoma"/>
        <charset val="134"/>
      </rPr>
      <t xml:space="preserve">         </t>
    </r>
    <r>
      <rPr>
        <sz val="11"/>
        <color theme="1"/>
        <rFont val="宋体"/>
        <charset val="134"/>
      </rPr>
      <t>《自动化机构设计工程师速成宝典之实战篇》</t>
    </r>
    <r>
      <rPr>
        <sz val="11"/>
        <color theme="1"/>
        <rFont val="Tahoma"/>
        <charset val="134"/>
      </rPr>
      <t xml:space="preserve"> ——</t>
    </r>
    <r>
      <rPr>
        <sz val="11"/>
        <color theme="1"/>
        <rFont val="宋体"/>
        <charset val="134"/>
      </rPr>
      <t>康博</t>
    </r>
    <r>
      <rPr>
        <sz val="11"/>
        <color theme="1"/>
        <rFont val="Tahoma"/>
        <charset val="134"/>
      </rPr>
      <t xml:space="preserve"> 
</t>
    </r>
    <r>
      <rPr>
        <sz val="11"/>
        <color theme="1"/>
        <rFont val="宋体"/>
        <charset val="134"/>
      </rPr>
      <t xml:space="preserve">修改日志：
</t>
    </r>
    <r>
      <rPr>
        <sz val="11"/>
        <color theme="1"/>
        <rFont val="Tahoma"/>
        <charset val="134"/>
      </rPr>
      <t xml:space="preserve">      2018.8.12</t>
    </r>
    <r>
      <rPr>
        <sz val="11"/>
        <color theme="1"/>
        <rFont val="宋体"/>
        <charset val="134"/>
      </rPr>
      <t>完成文档，只能计算负载水平和竖直布局，且没有考虑惯性力，即</t>
    </r>
    <r>
      <rPr>
        <sz val="11"/>
        <color theme="1"/>
        <rFont val="Tahoma"/>
        <charset val="134"/>
      </rPr>
      <t>F0=mgμ(</t>
    </r>
    <r>
      <rPr>
        <sz val="11"/>
        <color theme="1"/>
        <rFont val="宋体"/>
        <charset val="134"/>
      </rPr>
      <t>水平</t>
    </r>
    <r>
      <rPr>
        <sz val="11"/>
        <color theme="1"/>
        <rFont val="Tahoma"/>
        <charset val="134"/>
      </rPr>
      <t>)</t>
    </r>
    <r>
      <rPr>
        <sz val="11"/>
        <color theme="1"/>
        <rFont val="宋体"/>
        <charset val="134"/>
      </rPr>
      <t>或</t>
    </r>
    <r>
      <rPr>
        <sz val="11"/>
        <color theme="1"/>
        <rFont val="Tahoma"/>
        <charset val="134"/>
      </rPr>
      <t>F0=mg(</t>
    </r>
    <r>
      <rPr>
        <sz val="11"/>
        <color theme="1"/>
        <rFont val="宋体"/>
        <charset val="134"/>
      </rPr>
      <t>竖直</t>
    </r>
    <r>
      <rPr>
        <sz val="11"/>
        <color theme="1"/>
        <rFont val="Tahoma"/>
        <charset val="134"/>
      </rPr>
      <t>)</t>
    </r>
    <r>
      <rPr>
        <sz val="11"/>
        <color theme="1"/>
        <rFont val="宋体"/>
        <charset val="134"/>
      </rPr>
      <t xml:space="preserve">；
</t>
    </r>
    <r>
      <rPr>
        <sz val="11"/>
        <color theme="1"/>
        <rFont val="Tahoma"/>
        <charset val="134"/>
      </rPr>
      <t xml:space="preserve">      2018.8.15</t>
    </r>
    <r>
      <rPr>
        <sz val="11"/>
        <color theme="1"/>
        <rFont val="宋体"/>
        <charset val="134"/>
      </rPr>
      <t>更新文档，加入倾斜角θ，可以计算任何坡度布局，且考虑启动加速度</t>
    </r>
    <r>
      <rPr>
        <sz val="11"/>
        <color theme="1"/>
        <rFont val="Tahoma"/>
        <charset val="134"/>
      </rPr>
      <t>a</t>
    </r>
    <r>
      <rPr>
        <sz val="11"/>
        <color theme="1"/>
        <rFont val="宋体"/>
        <charset val="134"/>
      </rPr>
      <t>，即</t>
    </r>
    <r>
      <rPr>
        <sz val="11"/>
        <color theme="1"/>
        <rFont val="Tahoma"/>
        <charset val="134"/>
      </rPr>
      <t>F0=mg(sinθ+μcosθ)+ma</t>
    </r>
    <r>
      <rPr>
        <sz val="11"/>
        <color theme="1"/>
        <rFont val="宋体"/>
        <charset val="134"/>
      </rPr>
      <t>；</t>
    </r>
    <r>
      <rPr>
        <sz val="11"/>
        <color theme="1"/>
        <rFont val="Tahoma"/>
        <charset val="134"/>
      </rPr>
      <t xml:space="preserve">  </t>
    </r>
  </si>
  <si>
    <r>
      <rPr>
        <sz val="11"/>
        <color theme="1"/>
        <rFont val="宋体"/>
        <charset val="134"/>
      </rPr>
      <t>附</t>
    </r>
    <r>
      <rPr>
        <sz val="11"/>
        <color theme="1"/>
        <rFont val="Tahoma"/>
        <charset val="134"/>
      </rPr>
      <t xml:space="preserve"> </t>
    </r>
    <r>
      <rPr>
        <sz val="11"/>
        <color theme="1"/>
        <rFont val="宋体"/>
        <charset val="134"/>
      </rPr>
      <t>亚德客迷你气缸安装方式</t>
    </r>
  </si>
  <si>
    <r>
      <rPr>
        <sz val="11"/>
        <color theme="1"/>
        <rFont val="宋体"/>
        <charset val="134"/>
      </rPr>
      <t>表</t>
    </r>
    <r>
      <rPr>
        <sz val="11"/>
        <color theme="1"/>
        <rFont val="Tahoma"/>
        <charset val="134"/>
      </rPr>
      <t xml:space="preserve">4 </t>
    </r>
    <r>
      <rPr>
        <sz val="11"/>
        <color theme="1"/>
        <rFont val="宋体"/>
        <charset val="134"/>
      </rPr>
      <t>安装方式</t>
    </r>
  </si>
  <si>
    <r>
      <rPr>
        <sz val="11"/>
        <color theme="1"/>
        <rFont val="宋体"/>
        <charset val="134"/>
      </rPr>
      <t>附</t>
    </r>
    <r>
      <rPr>
        <sz val="11"/>
        <color theme="1"/>
        <rFont val="Tahoma"/>
        <charset val="134"/>
      </rPr>
      <t xml:space="preserve"> </t>
    </r>
    <r>
      <rPr>
        <sz val="11"/>
        <color theme="1"/>
        <rFont val="宋体"/>
        <charset val="134"/>
      </rPr>
      <t>亚德客迷你气缸型号填写参考</t>
    </r>
  </si>
  <si>
    <r>
      <rPr>
        <sz val="11"/>
        <color theme="1"/>
        <rFont val="宋体"/>
        <charset val="134"/>
      </rPr>
      <t>表</t>
    </r>
    <r>
      <rPr>
        <sz val="11"/>
        <color theme="1"/>
        <rFont val="Tahoma"/>
        <charset val="134"/>
      </rPr>
      <t xml:space="preserve">5 </t>
    </r>
    <r>
      <rPr>
        <sz val="11"/>
        <color theme="1"/>
        <rFont val="宋体"/>
        <charset val="134"/>
      </rPr>
      <t>缓冲方式</t>
    </r>
  </si>
  <si>
    <r>
      <rPr>
        <sz val="11"/>
        <color theme="1"/>
        <rFont val="宋体"/>
        <charset val="134"/>
      </rPr>
      <t>表</t>
    </r>
    <r>
      <rPr>
        <sz val="11"/>
        <color theme="1"/>
        <rFont val="Tahoma"/>
        <charset val="134"/>
      </rPr>
      <t xml:space="preserve">6 </t>
    </r>
    <r>
      <rPr>
        <sz val="11"/>
        <color theme="1"/>
        <rFont val="宋体"/>
        <charset val="134"/>
      </rPr>
      <t>磁石选择</t>
    </r>
  </si>
  <si>
    <r>
      <rPr>
        <sz val="11"/>
        <color theme="1"/>
        <rFont val="宋体"/>
        <charset val="134"/>
      </rPr>
      <t>表</t>
    </r>
    <r>
      <rPr>
        <sz val="11"/>
        <color theme="1"/>
        <rFont val="Tahoma"/>
        <charset val="134"/>
      </rPr>
      <t xml:space="preserve">7 </t>
    </r>
    <r>
      <rPr>
        <sz val="11"/>
        <color theme="1"/>
        <rFont val="宋体"/>
        <charset val="134"/>
      </rPr>
      <t>接头选择</t>
    </r>
  </si>
  <si>
    <r>
      <rPr>
        <b/>
        <sz val="16"/>
        <color theme="1"/>
        <rFont val="宋体"/>
        <charset val="134"/>
      </rPr>
      <t>回转气缸选型向导</t>
    </r>
    <r>
      <rPr>
        <b/>
        <sz val="16"/>
        <color theme="1"/>
        <rFont val="Tahoma"/>
        <charset val="134"/>
      </rPr>
      <t>(</t>
    </r>
    <r>
      <rPr>
        <b/>
        <sz val="16"/>
        <color theme="1"/>
        <rFont val="宋体"/>
        <charset val="134"/>
      </rPr>
      <t>以</t>
    </r>
    <r>
      <rPr>
        <b/>
        <sz val="16"/>
        <color theme="1"/>
        <rFont val="宋体"/>
        <charset val="134"/>
      </rPr>
      <t>亚德客为例</t>
    </r>
    <r>
      <rPr>
        <b/>
        <sz val="16"/>
        <color theme="1"/>
        <rFont val="Tahoma"/>
        <charset val="134"/>
      </rPr>
      <t>)</t>
    </r>
  </si>
  <si>
    <t>示意图</t>
  </si>
  <si>
    <t>已知条件：负载重量、工作压力、负载惯性矩、回转角度、回转时间、安全系数</t>
  </si>
  <si>
    <r>
      <rPr>
        <sz val="11"/>
        <color theme="1"/>
        <rFont val="宋体"/>
        <charset val="134"/>
      </rPr>
      <t>负载重量</t>
    </r>
    <r>
      <rPr>
        <sz val="11"/>
        <color theme="1"/>
        <rFont val="Tahoma"/>
        <charset val="134"/>
      </rPr>
      <t>m(kg)(</t>
    </r>
    <r>
      <rPr>
        <sz val="11"/>
        <color theme="1"/>
        <rFont val="宋体"/>
        <charset val="134"/>
      </rPr>
      <t>选填</t>
    </r>
    <r>
      <rPr>
        <sz val="11"/>
        <color theme="1"/>
        <rFont val="Tahoma"/>
        <charset val="134"/>
      </rPr>
      <t>)</t>
    </r>
  </si>
  <si>
    <r>
      <rPr>
        <sz val="11"/>
        <color theme="1"/>
        <rFont val="宋体"/>
        <charset val="134"/>
      </rPr>
      <t>负载转动惯量矩</t>
    </r>
    <r>
      <rPr>
        <sz val="11"/>
        <color theme="1"/>
        <rFont val="Tahoma"/>
        <charset val="134"/>
      </rPr>
      <t>J(kg.mm²)</t>
    </r>
  </si>
  <si>
    <r>
      <rPr>
        <sz val="11"/>
        <color theme="1"/>
        <rFont val="Tahoma"/>
        <charset val="134"/>
      </rPr>
      <t>SW</t>
    </r>
    <r>
      <rPr>
        <sz val="11"/>
        <color theme="1"/>
        <rFont val="宋体"/>
        <charset val="134"/>
      </rPr>
      <t>中查询惯性张量</t>
    </r>
  </si>
  <si>
    <r>
      <rPr>
        <sz val="11"/>
        <color theme="1"/>
        <rFont val="宋体"/>
        <charset val="134"/>
      </rPr>
      <t>表</t>
    </r>
    <r>
      <rPr>
        <sz val="11"/>
        <color theme="1"/>
        <rFont val="Tahoma"/>
        <charset val="134"/>
      </rPr>
      <t xml:space="preserve">1 </t>
    </r>
    <r>
      <rPr>
        <sz val="11"/>
        <color theme="1"/>
        <rFont val="宋体"/>
        <charset val="134"/>
      </rPr>
      <t>气缸允许转矩</t>
    </r>
  </si>
  <si>
    <r>
      <rPr>
        <sz val="11"/>
        <color theme="1"/>
        <rFont val="宋体"/>
        <charset val="134"/>
      </rPr>
      <t>回转角度</t>
    </r>
    <r>
      <rPr>
        <sz val="11"/>
        <color theme="1"/>
        <rFont val="Tahoma"/>
        <charset val="134"/>
      </rPr>
      <t>θ(°)</t>
    </r>
  </si>
  <si>
    <t>回转气缸0~190°</t>
  </si>
  <si>
    <r>
      <rPr>
        <sz val="11"/>
        <color theme="1"/>
        <rFont val="宋体"/>
        <charset val="134"/>
      </rPr>
      <t>回转时间</t>
    </r>
    <r>
      <rPr>
        <sz val="11"/>
        <color theme="1"/>
        <rFont val="Tahoma"/>
        <charset val="134"/>
      </rPr>
      <t>t(s)</t>
    </r>
  </si>
  <si>
    <t>一般取5</t>
  </si>
  <si>
    <r>
      <rPr>
        <sz val="11"/>
        <color theme="1"/>
        <rFont val="Tahoma"/>
        <charset val="134"/>
      </rPr>
      <t>1</t>
    </r>
    <r>
      <rPr>
        <sz val="11"/>
        <color theme="1"/>
        <rFont val="宋体"/>
        <charset val="134"/>
      </rPr>
      <t>，计算</t>
    </r>
  </si>
  <si>
    <t>角加速度α(rad/s²)</t>
  </si>
  <si>
    <t>α=2θ/t²</t>
  </si>
  <si>
    <t>T=KJα</t>
  </si>
  <si>
    <r>
      <rPr>
        <sz val="11"/>
        <color theme="1"/>
        <rFont val="宋体"/>
        <charset val="134"/>
      </rPr>
      <t>最大角速度</t>
    </r>
    <r>
      <rPr>
        <sz val="11"/>
        <color theme="1"/>
        <rFont val="Tahoma"/>
        <charset val="134"/>
      </rPr>
      <t>Wmax(rad/s)</t>
    </r>
  </si>
  <si>
    <t>Wmax=2θ/t</t>
  </si>
  <si>
    <r>
      <rPr>
        <sz val="11"/>
        <color theme="1"/>
        <rFont val="宋体"/>
        <charset val="134"/>
      </rPr>
      <t>负载最大动能</t>
    </r>
    <r>
      <rPr>
        <sz val="11"/>
        <color theme="1"/>
        <rFont val="Tahoma"/>
        <charset val="134"/>
      </rPr>
      <t>Emax(J)</t>
    </r>
  </si>
  <si>
    <t>E=J*Wmax²/2</t>
  </si>
  <si>
    <r>
      <rPr>
        <sz val="11"/>
        <color theme="1"/>
        <rFont val="Tahoma"/>
        <charset val="134"/>
      </rPr>
      <t>2</t>
    </r>
    <r>
      <rPr>
        <sz val="11"/>
        <color theme="1"/>
        <rFont val="宋体"/>
        <charset val="134"/>
      </rPr>
      <t>，确定气缸</t>
    </r>
    <r>
      <rPr>
        <sz val="11"/>
        <color theme="1"/>
        <rFont val="宋体"/>
        <charset val="134"/>
      </rPr>
      <t>型号</t>
    </r>
  </si>
  <si>
    <t>气缸基本型号</t>
  </si>
  <si>
    <t>HRQ 20</t>
  </si>
  <si>
    <r>
      <rPr>
        <sz val="11"/>
        <color theme="1"/>
        <rFont val="宋体"/>
        <charset val="134"/>
      </rPr>
      <t>表</t>
    </r>
    <r>
      <rPr>
        <sz val="11"/>
        <color theme="1"/>
        <rFont val="Tahoma"/>
        <charset val="134"/>
      </rPr>
      <t>1</t>
    </r>
    <r>
      <rPr>
        <sz val="11"/>
        <color theme="1"/>
        <rFont val="宋体"/>
        <charset val="134"/>
      </rPr>
      <t>，表</t>
    </r>
    <r>
      <rPr>
        <sz val="11"/>
        <color theme="1"/>
        <rFont val="Tahoma"/>
        <charset val="134"/>
      </rPr>
      <t>2</t>
    </r>
  </si>
  <si>
    <t>缓冲方式(选填)</t>
  </si>
  <si>
    <t>液压缓冲</t>
  </si>
  <si>
    <t>气缸型号</t>
  </si>
  <si>
    <r>
      <rPr>
        <sz val="11"/>
        <color theme="1"/>
        <rFont val="Tahoma"/>
        <charset val="134"/>
      </rPr>
      <t>3</t>
    </r>
    <r>
      <rPr>
        <sz val="11"/>
        <color theme="1"/>
        <rFont val="宋体"/>
        <charset val="134"/>
      </rPr>
      <t>，负载校核</t>
    </r>
    <r>
      <rPr>
        <sz val="11"/>
        <color theme="1"/>
        <rFont val="Tahoma"/>
        <charset val="134"/>
      </rPr>
      <t>(</t>
    </r>
    <r>
      <rPr>
        <sz val="11"/>
        <color theme="1"/>
        <rFont val="宋体"/>
        <charset val="134"/>
      </rPr>
      <t>选做</t>
    </r>
    <r>
      <rPr>
        <sz val="11"/>
        <color theme="1"/>
        <rFont val="Tahoma"/>
        <charset val="134"/>
      </rPr>
      <t xml:space="preserve">     </t>
    </r>
  </si>
  <si>
    <r>
      <rPr>
        <sz val="11"/>
        <color theme="1"/>
        <rFont val="宋体"/>
        <charset val="134"/>
      </rPr>
      <t>气缸最大允许负载</t>
    </r>
    <r>
      <rPr>
        <sz val="11"/>
        <color theme="1"/>
        <rFont val="Tahoma"/>
        <charset val="134"/>
      </rPr>
      <t>[mg](N)</t>
    </r>
  </si>
  <si>
    <r>
      <rPr>
        <sz val="12"/>
        <color theme="1"/>
        <rFont val="宋体"/>
        <charset val="134"/>
      </rPr>
      <t>说明：</t>
    </r>
    <r>
      <rPr>
        <sz val="12"/>
        <color theme="1"/>
        <rFont val="Tahoma"/>
        <charset val="134"/>
      </rPr>
      <t xml:space="preserve"> </t>
    </r>
    <r>
      <rPr>
        <sz val="12"/>
        <color theme="1"/>
        <rFont val="宋体"/>
        <charset val="134"/>
      </rPr>
      <t xml:space="preserve">
</t>
    </r>
    <r>
      <rPr>
        <sz val="12"/>
        <color theme="1"/>
        <rFont val="Tahoma"/>
        <charset val="134"/>
      </rPr>
      <t xml:space="preserve">    1</t>
    </r>
    <r>
      <rPr>
        <sz val="12"/>
        <color theme="1"/>
        <rFont val="宋体"/>
        <charset val="134"/>
      </rPr>
      <t>，惯性矩即</t>
    </r>
    <r>
      <rPr>
        <sz val="12"/>
        <color theme="1"/>
        <rFont val="Tahoma"/>
        <charset val="134"/>
      </rPr>
      <t>SW</t>
    </r>
    <r>
      <rPr>
        <sz val="12"/>
        <color theme="1"/>
        <rFont val="宋体"/>
        <charset val="134"/>
      </rPr>
      <t>软件中的惯性张量，其他</t>
    </r>
    <r>
      <rPr>
        <sz val="12"/>
        <color theme="1"/>
        <rFont val="Tahoma"/>
        <charset val="134"/>
      </rPr>
      <t>CAD</t>
    </r>
    <r>
      <rPr>
        <sz val="12"/>
        <color theme="1"/>
        <rFont val="宋体"/>
        <charset val="134"/>
      </rPr>
      <t>软件也可查询，注意在</t>
    </r>
    <r>
      <rPr>
        <sz val="12"/>
        <color theme="1"/>
        <rFont val="Tahoma"/>
        <charset val="134"/>
      </rPr>
      <t>SW</t>
    </r>
    <r>
      <rPr>
        <sz val="12"/>
        <color theme="1"/>
        <rFont val="宋体"/>
        <charset val="134"/>
      </rPr>
      <t>中先将旋转中心装配在</t>
    </r>
    <r>
      <rPr>
        <sz val="12"/>
        <color theme="1"/>
        <rFont val="Tahoma"/>
        <charset val="134"/>
      </rPr>
      <t>Z</t>
    </r>
    <r>
      <rPr>
        <sz val="12"/>
        <color theme="1"/>
        <rFont val="宋体"/>
        <charset val="134"/>
      </rPr>
      <t>轴</t>
    </r>
    <r>
      <rPr>
        <sz val="12"/>
        <color theme="1"/>
        <rFont val="Tahoma"/>
        <charset val="134"/>
      </rPr>
      <t>(</t>
    </r>
    <r>
      <rPr>
        <sz val="12"/>
        <color theme="1"/>
        <rFont val="宋体"/>
        <charset val="134"/>
      </rPr>
      <t>或</t>
    </r>
    <r>
      <rPr>
        <sz val="12"/>
        <color theme="1"/>
        <rFont val="Tahoma"/>
        <charset val="134"/>
      </rPr>
      <t>X/Y</t>
    </r>
    <r>
      <rPr>
        <sz val="12"/>
        <color theme="1"/>
        <rFont val="宋体"/>
        <charset val="134"/>
      </rPr>
      <t>轴</t>
    </r>
    <r>
      <rPr>
        <sz val="12"/>
        <color theme="1"/>
        <rFont val="Tahoma"/>
        <charset val="134"/>
      </rPr>
      <t>)</t>
    </r>
    <r>
      <rPr>
        <sz val="12"/>
        <color theme="1"/>
        <rFont val="宋体"/>
        <charset val="134"/>
      </rPr>
      <t>上，然后再查询质量属性，如附表</t>
    </r>
    <r>
      <rPr>
        <sz val="12"/>
        <color theme="1"/>
        <rFont val="Tahoma"/>
        <charset val="134"/>
      </rPr>
      <t>1
    2</t>
    </r>
    <r>
      <rPr>
        <sz val="12"/>
        <color theme="1"/>
        <rFont val="宋体"/>
        <charset val="134"/>
      </rPr>
      <t>，回转气缸型号标识见附表</t>
    </r>
    <r>
      <rPr>
        <sz val="12"/>
        <color theme="1"/>
        <rFont val="Tahoma"/>
        <charset val="134"/>
      </rPr>
      <t>2
    3</t>
    </r>
    <r>
      <rPr>
        <sz val="12"/>
        <color theme="1"/>
        <rFont val="宋体"/>
        <charset val="134"/>
      </rPr>
      <t xml:space="preserve">，角加速度公式出自亚德克手册，是经验公式
</t>
    </r>
  </si>
  <si>
    <r>
      <rPr>
        <sz val="11"/>
        <color theme="1"/>
        <rFont val="宋体"/>
        <charset val="134"/>
      </rPr>
      <t>文档信息
编写：煜宸
参考：《亚德客产品型录</t>
    </r>
    <r>
      <rPr>
        <sz val="11"/>
        <color theme="1"/>
        <rFont val="Tahoma"/>
        <charset val="134"/>
      </rPr>
      <t>2018</t>
    </r>
    <r>
      <rPr>
        <sz val="11"/>
        <color theme="1"/>
        <rFont val="宋体"/>
        <charset val="134"/>
      </rPr>
      <t xml:space="preserve">》
</t>
    </r>
    <r>
      <rPr>
        <sz val="11"/>
        <color theme="1"/>
        <rFont val="Tahoma"/>
        <charset val="134"/>
      </rPr>
      <t xml:space="preserve">         </t>
    </r>
    <r>
      <rPr>
        <sz val="11"/>
        <color theme="1"/>
        <rFont val="宋体"/>
        <charset val="134"/>
      </rPr>
      <t>《普通气缸选型计算》</t>
    </r>
    <r>
      <rPr>
        <sz val="11"/>
        <color theme="1"/>
        <rFont val="Tahoma"/>
        <charset val="134"/>
      </rPr>
      <t>——(</t>
    </r>
    <r>
      <rPr>
        <sz val="11"/>
        <color theme="1"/>
        <rFont val="宋体"/>
        <charset val="134"/>
      </rPr>
      <t>前桥教育</t>
    </r>
    <r>
      <rPr>
        <sz val="11"/>
        <color theme="1"/>
        <rFont val="Tahoma"/>
        <charset val="134"/>
      </rPr>
      <t xml:space="preserve">) </t>
    </r>
    <r>
      <rPr>
        <sz val="11"/>
        <color theme="1"/>
        <rFont val="宋体"/>
        <charset val="134"/>
      </rPr>
      <t>宣言</t>
    </r>
    <r>
      <rPr>
        <sz val="11"/>
        <color theme="1"/>
        <rFont val="Tahoma"/>
        <charset val="134"/>
      </rPr>
      <t xml:space="preserve"> 
                                                                                                 2018.8.12   </t>
    </r>
  </si>
  <si>
    <t>附表1 SW查询惯性张量示意图</t>
  </si>
  <si>
    <t>表2 气缸允许最大动能</t>
  </si>
  <si>
    <t>附表2 回转气缸型号标识</t>
  </si>
  <si>
    <t>表2 气缸允许最大负载</t>
  </si>
  <si>
    <r>
      <rPr>
        <b/>
        <sz val="16"/>
        <color theme="1"/>
        <rFont val="Tahoma"/>
        <charset val="134"/>
      </rPr>
      <t xml:space="preserve">      </t>
    </r>
    <r>
      <rPr>
        <b/>
        <sz val="16"/>
        <color theme="1"/>
        <rFont val="宋体"/>
        <charset val="134"/>
      </rPr>
      <t>普通滑台气缸选型向导</t>
    </r>
    <r>
      <rPr>
        <b/>
        <sz val="16"/>
        <color theme="1"/>
        <rFont val="Tahoma"/>
        <charset val="134"/>
      </rPr>
      <t>(</t>
    </r>
    <r>
      <rPr>
        <b/>
        <sz val="16"/>
        <color theme="1"/>
        <rFont val="宋体"/>
        <charset val="134"/>
      </rPr>
      <t>以亚德客为例</t>
    </r>
    <r>
      <rPr>
        <b/>
        <sz val="16"/>
        <color theme="1"/>
        <rFont val="Tahoma"/>
        <charset val="134"/>
      </rPr>
      <t>)</t>
    </r>
  </si>
  <si>
    <r>
      <rPr>
        <sz val="11"/>
        <color theme="1"/>
        <rFont val="宋体"/>
        <charset val="134"/>
      </rPr>
      <t>表</t>
    </r>
    <r>
      <rPr>
        <sz val="11"/>
        <color theme="1"/>
        <rFont val="Tahoma"/>
        <charset val="134"/>
      </rPr>
      <t xml:space="preserve">1 </t>
    </r>
    <r>
      <rPr>
        <sz val="11"/>
        <color theme="1"/>
        <rFont val="宋体"/>
        <charset val="134"/>
      </rPr>
      <t>亚德客普通滑台气缸标准行程</t>
    </r>
  </si>
  <si>
    <t>活塞数量</t>
  </si>
  <si>
    <t>内径(杆径)</t>
  </si>
  <si>
    <t>标准行程</t>
  </si>
  <si>
    <r>
      <rPr>
        <sz val="11"/>
        <color theme="1"/>
        <rFont val="宋体"/>
        <charset val="134"/>
      </rPr>
      <t>布局方式</t>
    </r>
  </si>
  <si>
    <t>水平</t>
  </si>
  <si>
    <r>
      <rPr>
        <sz val="11"/>
        <color theme="1"/>
        <rFont val="宋体"/>
        <charset val="134"/>
      </rPr>
      <t>水平</t>
    </r>
    <r>
      <rPr>
        <sz val="11"/>
        <color theme="1"/>
        <rFont val="Tahoma"/>
        <charset val="134"/>
      </rPr>
      <t>/</t>
    </r>
    <r>
      <rPr>
        <sz val="11"/>
        <color theme="1"/>
        <rFont val="宋体"/>
        <charset val="134"/>
      </rPr>
      <t>竖直</t>
    </r>
  </si>
  <si>
    <t>单轴</t>
  </si>
  <si>
    <r>
      <rPr>
        <sz val="11"/>
        <color theme="1"/>
        <rFont val="Tahoma"/>
        <charset val="134"/>
      </rPr>
      <t>HLH</t>
    </r>
    <r>
      <rPr>
        <sz val="11"/>
        <color theme="1"/>
        <rFont val="宋体"/>
        <charset val="134"/>
      </rPr>
      <t>精密
侧滑轨</t>
    </r>
  </si>
  <si>
    <t>6(3)</t>
  </si>
  <si>
    <t>5 10 15 20 25 30</t>
  </si>
  <si>
    <t>负载重量m(kg)</t>
  </si>
  <si>
    <r>
      <rPr>
        <sz val="11"/>
        <color theme="1"/>
        <rFont val="宋体"/>
        <charset val="134"/>
      </rPr>
      <t>竖直时≤</t>
    </r>
    <r>
      <rPr>
        <sz val="11"/>
        <color theme="1"/>
        <rFont val="Tahoma"/>
        <charset val="134"/>
      </rPr>
      <t>1,</t>
    </r>
    <r>
      <rPr>
        <sz val="11"/>
        <color theme="1"/>
        <rFont val="宋体"/>
        <charset val="134"/>
      </rPr>
      <t>水平时≤</t>
    </r>
    <r>
      <rPr>
        <sz val="11"/>
        <color theme="1"/>
        <rFont val="Tahoma"/>
        <charset val="134"/>
      </rPr>
      <t>0.5</t>
    </r>
  </si>
  <si>
    <t>10(4)</t>
  </si>
  <si>
    <t>5 10 15 20 25 30 40 50</t>
  </si>
  <si>
    <r>
      <rPr>
        <sz val="11"/>
        <color theme="1"/>
        <rFont val="宋体"/>
        <charset val="134"/>
      </rPr>
      <t>运行距离</t>
    </r>
    <r>
      <rPr>
        <sz val="11"/>
        <color theme="1"/>
        <rFont val="Tahoma"/>
        <charset val="134"/>
      </rPr>
      <t>L(mm)</t>
    </r>
  </si>
  <si>
    <t xml:space="preserve">16(6) </t>
  </si>
  <si>
    <t>5 10 15 20 25 30 40 50 60</t>
  </si>
  <si>
    <r>
      <rPr>
        <sz val="11"/>
        <color theme="1"/>
        <rFont val="宋体"/>
        <charset val="134"/>
      </rPr>
      <t>运行时间</t>
    </r>
    <r>
      <rPr>
        <sz val="11"/>
        <color theme="1"/>
        <rFont val="Tahoma"/>
        <charset val="134"/>
      </rPr>
      <t>t(s)</t>
    </r>
  </si>
  <si>
    <t>20(8)</t>
  </si>
  <si>
    <r>
      <rPr>
        <sz val="11"/>
        <color theme="1"/>
        <rFont val="Tahoma"/>
        <charset val="134"/>
      </rPr>
      <t>HLF</t>
    </r>
    <r>
      <rPr>
        <sz val="11"/>
        <color theme="1"/>
        <rFont val="宋体"/>
        <charset val="134"/>
      </rPr>
      <t>超薄
精密</t>
    </r>
  </si>
  <si>
    <t>8(3)</t>
  </si>
  <si>
    <t>10 20 30</t>
  </si>
  <si>
    <t>负载率(安全系数)η</t>
  </si>
  <si>
    <t>常取0.8,0.65,0.5,0.35</t>
  </si>
  <si>
    <t>12(4)</t>
  </si>
  <si>
    <t>20 30 50</t>
  </si>
  <si>
    <r>
      <rPr>
        <sz val="11"/>
        <color theme="1"/>
        <rFont val="宋体"/>
        <charset val="134"/>
      </rPr>
      <t>可取</t>
    </r>
    <r>
      <rPr>
        <sz val="11"/>
        <color theme="1"/>
        <rFont val="Tahoma"/>
        <charset val="134"/>
      </rPr>
      <t>0.01~0.1</t>
    </r>
  </si>
  <si>
    <t>30 50 75</t>
  </si>
  <si>
    <r>
      <rPr>
        <sz val="11"/>
        <color theme="1"/>
        <rFont val="Tahoma"/>
        <charset val="134"/>
      </rPr>
      <t>1</t>
    </r>
    <r>
      <rPr>
        <sz val="11"/>
        <color theme="1"/>
        <rFont val="宋体"/>
        <charset val="134"/>
      </rPr>
      <t>，最小缸径计算</t>
    </r>
  </si>
  <si>
    <t>30 50 75 100</t>
  </si>
  <si>
    <r>
      <rPr>
        <sz val="11"/>
        <color theme="1"/>
        <rFont val="宋体"/>
        <charset val="134"/>
      </rPr>
      <t>已考虑</t>
    </r>
    <r>
      <rPr>
        <sz val="11"/>
        <color theme="1"/>
        <rFont val="Tahoma"/>
        <charset val="134"/>
      </rPr>
      <t>η</t>
    </r>
  </si>
  <si>
    <t>双轴</t>
  </si>
  <si>
    <r>
      <rPr>
        <sz val="11"/>
        <color theme="1"/>
        <rFont val="Tahoma"/>
        <charset val="134"/>
      </rPr>
      <t>STW</t>
    </r>
    <r>
      <rPr>
        <sz val="11"/>
        <color theme="1"/>
        <rFont val="宋体"/>
        <charset val="134"/>
      </rPr>
      <t>双向
双轴</t>
    </r>
  </si>
  <si>
    <t>10(6)</t>
  </si>
  <si>
    <t>25 50 75 100</t>
  </si>
  <si>
    <r>
      <rPr>
        <sz val="11"/>
        <color theme="1"/>
        <rFont val="宋体"/>
        <charset val="134"/>
      </rPr>
      <t>单轴气缸最小缸径</t>
    </r>
    <r>
      <rPr>
        <sz val="11"/>
        <color theme="1"/>
        <rFont val="Tahoma"/>
        <charset val="134"/>
      </rPr>
      <t>D</t>
    </r>
  </si>
  <si>
    <r>
      <rPr>
        <sz val="11"/>
        <color theme="1"/>
        <rFont val="宋体"/>
        <charset val="134"/>
      </rPr>
      <t>推杆直径≈</t>
    </r>
    <r>
      <rPr>
        <sz val="11"/>
        <color theme="1"/>
        <rFont val="Tahoma"/>
        <charset val="134"/>
      </rPr>
      <t>0.4D</t>
    </r>
  </si>
  <si>
    <t>16(10)</t>
  </si>
  <si>
    <t>25 50 75 100 125 150 175 200</t>
  </si>
  <si>
    <r>
      <rPr>
        <sz val="11"/>
        <color theme="1"/>
        <rFont val="Tahoma"/>
        <charset val="134"/>
      </rPr>
      <t>STW</t>
    </r>
    <r>
      <rPr>
        <sz val="11"/>
        <color theme="1"/>
        <rFont val="宋体"/>
        <charset val="134"/>
      </rPr>
      <t>双轴气缸最小缸径</t>
    </r>
    <r>
      <rPr>
        <sz val="11"/>
        <color theme="1"/>
        <rFont val="Tahoma"/>
        <charset val="134"/>
      </rPr>
      <t>D</t>
    </r>
  </si>
  <si>
    <r>
      <rPr>
        <sz val="11"/>
        <color theme="1"/>
        <rFont val="宋体"/>
        <charset val="134"/>
      </rPr>
      <t>推杆直径≈</t>
    </r>
    <r>
      <rPr>
        <sz val="11"/>
        <color theme="1"/>
        <rFont val="Tahoma"/>
        <charset val="134"/>
      </rPr>
      <t>0.6D</t>
    </r>
  </si>
  <si>
    <t>20(12)</t>
  </si>
  <si>
    <r>
      <rPr>
        <sz val="11"/>
        <color theme="1"/>
        <rFont val="Tahoma"/>
        <charset val="134"/>
      </rPr>
      <t>2</t>
    </r>
    <r>
      <rPr>
        <sz val="11"/>
        <color theme="1"/>
        <rFont val="宋体"/>
        <charset val="134"/>
      </rPr>
      <t>，动能与负载计</t>
    </r>
    <r>
      <rPr>
        <sz val="11"/>
        <color theme="1"/>
        <rFont val="Tahoma"/>
        <charset val="134"/>
      </rPr>
      <t xml:space="preserve"> 
     </t>
    </r>
    <r>
      <rPr>
        <sz val="11"/>
        <color theme="1"/>
        <rFont val="宋体"/>
        <charset val="134"/>
      </rPr>
      <t xml:space="preserve">算及气缸选型
</t>
    </r>
    <r>
      <rPr>
        <sz val="11"/>
        <color theme="1"/>
        <rFont val="Tahoma"/>
        <charset val="134"/>
      </rPr>
      <t xml:space="preserve">     </t>
    </r>
  </si>
  <si>
    <r>
      <rPr>
        <sz val="11"/>
        <color theme="1"/>
        <rFont val="宋体"/>
        <charset val="134"/>
      </rPr>
      <t>负载力</t>
    </r>
    <r>
      <rPr>
        <sz val="11"/>
        <color theme="1"/>
        <rFont val="Tahoma"/>
        <charset val="134"/>
      </rPr>
      <t>W(N)</t>
    </r>
  </si>
  <si>
    <t>W=mg</t>
  </si>
  <si>
    <t>25(16)</t>
  </si>
  <si>
    <r>
      <rPr>
        <sz val="11"/>
        <color theme="1"/>
        <rFont val="宋体"/>
        <charset val="134"/>
      </rPr>
      <t>负载平均速度</t>
    </r>
    <r>
      <rPr>
        <sz val="11"/>
        <color theme="1"/>
        <rFont val="Tahoma"/>
        <charset val="134"/>
      </rPr>
      <t>V(mm/s)</t>
    </r>
  </si>
  <si>
    <t>32(20)</t>
  </si>
  <si>
    <r>
      <rPr>
        <sz val="11"/>
        <color theme="1"/>
        <rFont val="宋体"/>
        <charset val="134"/>
      </rPr>
      <t>负载偏心距</t>
    </r>
    <r>
      <rPr>
        <sz val="11"/>
        <color theme="1"/>
        <rFont val="Tahoma"/>
        <charset val="134"/>
      </rPr>
      <t>I(mm)</t>
    </r>
  </si>
  <si>
    <r>
      <rPr>
        <sz val="11"/>
        <color theme="1"/>
        <rFont val="宋体"/>
        <charset val="134"/>
      </rPr>
      <t>负载重心离轴高度</t>
    </r>
    <r>
      <rPr>
        <sz val="11"/>
        <color theme="1"/>
        <rFont val="Tahoma"/>
        <charset val="134"/>
      </rPr>
      <t>L(mm)</t>
    </r>
  </si>
  <si>
    <r>
      <rPr>
        <sz val="11"/>
        <color theme="1"/>
        <rFont val="宋体"/>
        <charset val="134"/>
      </rPr>
      <t>表</t>
    </r>
    <r>
      <rPr>
        <sz val="11"/>
        <color theme="1"/>
        <rFont val="Tahoma"/>
        <charset val="134"/>
      </rPr>
      <t>2 HLH</t>
    </r>
    <r>
      <rPr>
        <sz val="11"/>
        <color theme="1"/>
        <rFont val="宋体"/>
        <charset val="134"/>
      </rPr>
      <t>允许负载及选型图</t>
    </r>
    <r>
      <rPr>
        <sz val="11"/>
        <color theme="1"/>
        <rFont val="Tahoma"/>
        <charset val="134"/>
      </rPr>
      <t>(HLF</t>
    </r>
    <r>
      <rPr>
        <sz val="11"/>
        <color theme="1"/>
        <rFont val="宋体"/>
        <charset val="134"/>
      </rPr>
      <t>可参考</t>
    </r>
    <r>
      <rPr>
        <sz val="11"/>
        <color theme="1"/>
        <rFont val="Tahoma"/>
        <charset val="134"/>
      </rPr>
      <t>)</t>
    </r>
  </si>
  <si>
    <t>气缸类型选取</t>
  </si>
  <si>
    <t>HLH精密单轴</t>
  </si>
  <si>
    <t>结合运行距离、最小缸径、要求动能和要求负载查表1、表2、表3</t>
  </si>
  <si>
    <t>气缸缸径选取</t>
  </si>
  <si>
    <t>气缸行程选取</t>
  </si>
  <si>
    <r>
      <rPr>
        <sz val="11"/>
        <color theme="1"/>
        <rFont val="宋体"/>
        <charset val="134"/>
      </rPr>
      <t>表3</t>
    </r>
    <r>
      <rPr>
        <sz val="11"/>
        <color theme="1"/>
        <rFont val="Tahoma"/>
        <charset val="134"/>
      </rPr>
      <t xml:space="preserve"> STW</t>
    </r>
    <r>
      <rPr>
        <sz val="11"/>
        <color theme="1"/>
        <rFont val="宋体"/>
        <charset val="134"/>
      </rPr>
      <t>允许负载及选型图</t>
    </r>
  </si>
  <si>
    <r>
      <rPr>
        <sz val="12"/>
        <color theme="1"/>
        <rFont val="宋体"/>
        <charset val="134"/>
      </rPr>
      <t>说明：</t>
    </r>
    <r>
      <rPr>
        <sz val="12"/>
        <color theme="1"/>
        <rFont val="Tahoma"/>
        <charset val="134"/>
      </rPr>
      <t xml:space="preserve"> </t>
    </r>
    <r>
      <rPr>
        <sz val="12"/>
        <color theme="1"/>
        <rFont val="宋体"/>
        <charset val="134"/>
      </rPr>
      <t xml:space="preserve">
</t>
    </r>
    <r>
      <rPr>
        <sz val="12"/>
        <color theme="1"/>
        <rFont val="Tahoma"/>
        <charset val="134"/>
      </rPr>
      <t xml:space="preserve">  1</t>
    </r>
    <r>
      <rPr>
        <sz val="12"/>
        <color theme="1"/>
        <rFont val="宋体"/>
        <charset val="134"/>
      </rPr>
      <t>，</t>
    </r>
    <r>
      <rPr>
        <sz val="12"/>
        <color theme="1"/>
        <rFont val="Tahoma"/>
        <charset val="134"/>
      </rPr>
      <t>HLF</t>
    </r>
    <r>
      <rPr>
        <sz val="12"/>
        <color theme="1"/>
        <rFont val="宋体"/>
        <charset val="134"/>
      </rPr>
      <t>超薄单轴滑台气缸的允许负载力官方尚无数据，可参考</t>
    </r>
    <r>
      <rPr>
        <sz val="12"/>
        <color theme="1"/>
        <rFont val="Tahoma"/>
        <charset val="134"/>
      </rPr>
      <t>HLH
  2</t>
    </r>
    <r>
      <rPr>
        <sz val="12"/>
        <color theme="1"/>
        <rFont val="宋体"/>
        <charset val="134"/>
      </rPr>
      <t>，</t>
    </r>
    <r>
      <rPr>
        <sz val="12"/>
        <color theme="1"/>
        <rFont val="Tahoma"/>
        <charset val="134"/>
      </rPr>
      <t>HLF</t>
    </r>
    <r>
      <rPr>
        <sz val="12"/>
        <color theme="1"/>
        <rFont val="宋体"/>
        <charset val="134"/>
      </rPr>
      <t>和</t>
    </r>
    <r>
      <rPr>
        <sz val="12"/>
        <color theme="1"/>
        <rFont val="Tahoma"/>
        <charset val="134"/>
      </rPr>
      <t>HLH</t>
    </r>
    <r>
      <rPr>
        <sz val="12"/>
        <color theme="1"/>
        <rFont val="宋体"/>
        <charset val="134"/>
      </rPr>
      <t>缓冲形式为固定缓冲</t>
    </r>
    <r>
      <rPr>
        <sz val="12"/>
        <color theme="1"/>
        <rFont val="Tahoma"/>
        <charset val="134"/>
      </rPr>
      <t>(</t>
    </r>
    <r>
      <rPr>
        <sz val="12"/>
        <color theme="1"/>
        <rFont val="宋体"/>
        <charset val="134"/>
      </rPr>
      <t>螺丝调节</t>
    </r>
    <r>
      <rPr>
        <sz val="12"/>
        <color theme="1"/>
        <rFont val="Tahoma"/>
        <charset val="134"/>
      </rPr>
      <t>)</t>
    </r>
    <r>
      <rPr>
        <sz val="12"/>
        <color theme="1"/>
        <rFont val="宋体"/>
        <charset val="134"/>
      </rPr>
      <t>，</t>
    </r>
    <r>
      <rPr>
        <sz val="12"/>
        <color theme="1"/>
        <rFont val="Tahoma"/>
        <charset val="134"/>
      </rPr>
      <t>STW</t>
    </r>
    <r>
      <rPr>
        <sz val="12"/>
        <color theme="1"/>
        <rFont val="宋体"/>
        <charset val="134"/>
      </rPr>
      <t>为液压缓冲</t>
    </r>
    <r>
      <rPr>
        <sz val="12"/>
        <color theme="1"/>
        <rFont val="Tahoma"/>
        <charset val="134"/>
      </rPr>
      <t>(</t>
    </r>
    <r>
      <rPr>
        <sz val="12"/>
        <color theme="1"/>
        <rFont val="宋体"/>
        <charset val="134"/>
      </rPr>
      <t>油压缓冲</t>
    </r>
    <r>
      <rPr>
        <sz val="12"/>
        <color theme="1"/>
        <rFont val="Tahoma"/>
        <charset val="134"/>
      </rPr>
      <t xml:space="preserve">)
    </t>
    </r>
  </si>
  <si>
    <r>
      <rPr>
        <sz val="11"/>
        <color theme="1"/>
        <rFont val="宋体"/>
        <charset val="134"/>
      </rPr>
      <t>文档信息
编写：煜宸
参考：《亚德客产品型录</t>
    </r>
    <r>
      <rPr>
        <sz val="11"/>
        <color theme="1"/>
        <rFont val="Tahoma"/>
        <charset val="134"/>
      </rPr>
      <t>2018</t>
    </r>
    <r>
      <rPr>
        <sz val="11"/>
        <color theme="1"/>
        <rFont val="宋体"/>
        <charset val="134"/>
      </rPr>
      <t xml:space="preserve">》
</t>
    </r>
    <r>
      <rPr>
        <sz val="11"/>
        <color theme="1"/>
        <rFont val="Tahoma"/>
        <charset val="134"/>
      </rPr>
      <t xml:space="preserve">         </t>
    </r>
    <r>
      <rPr>
        <sz val="11"/>
        <color theme="1"/>
        <rFont val="宋体"/>
        <charset val="134"/>
      </rPr>
      <t>《滑台气缸选型》</t>
    </r>
    <r>
      <rPr>
        <sz val="11"/>
        <color theme="1"/>
        <rFont val="Tahoma"/>
        <charset val="134"/>
      </rPr>
      <t>——(</t>
    </r>
    <r>
      <rPr>
        <sz val="11"/>
        <color theme="1"/>
        <rFont val="宋体"/>
        <charset val="134"/>
      </rPr>
      <t>前桥教育</t>
    </r>
    <r>
      <rPr>
        <sz val="11"/>
        <color theme="1"/>
        <rFont val="Tahoma"/>
        <charset val="134"/>
      </rPr>
      <t xml:space="preserve">) </t>
    </r>
    <r>
      <rPr>
        <sz val="11"/>
        <color theme="1"/>
        <rFont val="宋体"/>
        <charset val="134"/>
      </rPr>
      <t>宣言</t>
    </r>
    <r>
      <rPr>
        <sz val="11"/>
        <color theme="1"/>
        <rFont val="Tahoma"/>
        <charset val="134"/>
      </rPr>
      <t xml:space="preserve">                                                                                                               
                                                                                          2018.8.12   </t>
    </r>
  </si>
  <si>
    <r>
      <rPr>
        <b/>
        <sz val="16"/>
        <color theme="1"/>
        <rFont val="Tahoma"/>
        <charset val="134"/>
      </rPr>
      <t xml:space="preserve">        </t>
    </r>
    <r>
      <rPr>
        <b/>
        <sz val="16"/>
        <color theme="1"/>
        <rFont val="宋体"/>
        <charset val="134"/>
      </rPr>
      <t>精密双轴滑台气缸选型向导</t>
    </r>
    <r>
      <rPr>
        <b/>
        <sz val="16"/>
        <color theme="1"/>
        <rFont val="Tahoma"/>
        <charset val="134"/>
      </rPr>
      <t>(</t>
    </r>
    <r>
      <rPr>
        <b/>
        <sz val="16"/>
        <color theme="1"/>
        <rFont val="宋体"/>
        <charset val="134"/>
      </rPr>
      <t>以亚德客为例</t>
    </r>
    <r>
      <rPr>
        <b/>
        <sz val="16"/>
        <color theme="1"/>
        <rFont val="Tahoma"/>
        <charset val="134"/>
      </rPr>
      <t>)</t>
    </r>
  </si>
  <si>
    <r>
      <rPr>
        <sz val="11"/>
        <color theme="1"/>
        <rFont val="宋体"/>
        <charset val="134"/>
      </rPr>
      <t>表1A</t>
    </r>
    <r>
      <rPr>
        <sz val="11"/>
        <color theme="1"/>
        <rFont val="Tahoma"/>
        <charset val="134"/>
      </rPr>
      <t xml:space="preserve"> </t>
    </r>
    <r>
      <rPr>
        <sz val="11"/>
        <color theme="1"/>
        <rFont val="宋体"/>
        <charset val="134"/>
      </rPr>
      <t>负载安装方式修正系数</t>
    </r>
  </si>
  <si>
    <r>
      <rPr>
        <sz val="11"/>
        <color theme="1"/>
        <rFont val="宋体"/>
        <charset val="134"/>
      </rPr>
      <t>表1B 允许载荷修正系数</t>
    </r>
    <r>
      <rPr>
        <sz val="11"/>
        <color theme="1"/>
        <rFont val="Tahoma"/>
        <charset val="134"/>
      </rPr>
      <t>β</t>
    </r>
  </si>
  <si>
    <t>竖直</t>
  </si>
  <si>
    <t>缓冲类型</t>
  </si>
  <si>
    <t>调节螺丝</t>
  </si>
  <si>
    <r>
      <rPr>
        <sz val="11"/>
        <color theme="1"/>
        <rFont val="宋体"/>
        <charset val="134"/>
      </rPr>
      <t>表2</t>
    </r>
    <r>
      <rPr>
        <sz val="11"/>
        <color theme="1"/>
        <rFont val="Tahoma"/>
        <charset val="134"/>
      </rPr>
      <t xml:space="preserve"> </t>
    </r>
    <r>
      <rPr>
        <sz val="11"/>
        <color theme="1"/>
        <rFont val="宋体"/>
        <charset val="134"/>
      </rPr>
      <t>亚德客滑台气缸标准行程</t>
    </r>
  </si>
  <si>
    <t>允许动能Emax(J)</t>
  </si>
  <si>
    <r>
      <rPr>
        <b/>
        <sz val="11"/>
        <color theme="0"/>
        <rFont val="宋体"/>
        <charset val="134"/>
      </rPr>
      <t>允许负载</t>
    </r>
    <r>
      <rPr>
        <b/>
        <sz val="11"/>
        <color theme="0"/>
        <rFont val="Tahoma"/>
        <charset val="134"/>
      </rPr>
      <t>Wmax(N)</t>
    </r>
  </si>
  <si>
    <r>
      <rPr>
        <b/>
        <sz val="11"/>
        <color theme="0"/>
        <rFont val="Tahoma"/>
        <charset val="134"/>
      </rPr>
      <t>HLQ</t>
    </r>
    <r>
      <rPr>
        <b/>
        <sz val="11"/>
        <color theme="0"/>
        <rFont val="宋体"/>
        <charset val="134"/>
      </rPr>
      <t xml:space="preserve">精密
双轴滚珠
</t>
    </r>
    <r>
      <rPr>
        <b/>
        <sz val="11"/>
        <color theme="0"/>
        <rFont val="Tahoma"/>
        <charset val="134"/>
      </rPr>
      <t>HLS</t>
    </r>
    <r>
      <rPr>
        <b/>
        <sz val="11"/>
        <color theme="0"/>
        <rFont val="宋体"/>
        <charset val="134"/>
      </rPr>
      <t>精密
双轴滚柱</t>
    </r>
  </si>
  <si>
    <t xml:space="preserve">10 20 30 40 50 </t>
  </si>
  <si>
    <t>8(4)</t>
  </si>
  <si>
    <t xml:space="preserve">10 20 30 40 50 75 </t>
  </si>
  <si>
    <t>普通双轴气缸最小缸径D</t>
  </si>
  <si>
    <t>12(6)</t>
  </si>
  <si>
    <t>10 20 30 40 50 75 100</t>
  </si>
  <si>
    <r>
      <rPr>
        <sz val="11"/>
        <color theme="1"/>
        <rFont val="宋体"/>
        <charset val="134"/>
      </rPr>
      <t>精密双轴气缸最小缸径</t>
    </r>
    <r>
      <rPr>
        <sz val="11"/>
        <color theme="1"/>
        <rFont val="Tahoma"/>
        <charset val="134"/>
      </rPr>
      <t>D</t>
    </r>
  </si>
  <si>
    <r>
      <rPr>
        <sz val="11"/>
        <color theme="1"/>
        <rFont val="宋体"/>
        <charset val="134"/>
      </rPr>
      <t>推杆直径≈</t>
    </r>
    <r>
      <rPr>
        <sz val="11"/>
        <color theme="1"/>
        <rFont val="Tahoma"/>
        <charset val="134"/>
      </rPr>
      <t>0.5D</t>
    </r>
  </si>
  <si>
    <t>16(8)</t>
  </si>
  <si>
    <t>10 20 30 40 50 75 100 125</t>
  </si>
  <si>
    <r>
      <rPr>
        <sz val="11"/>
        <color theme="1"/>
        <rFont val="Tahoma"/>
        <charset val="134"/>
      </rPr>
      <t>2</t>
    </r>
    <r>
      <rPr>
        <sz val="11"/>
        <color theme="1"/>
        <rFont val="宋体"/>
        <charset val="134"/>
      </rPr>
      <t xml:space="preserve">，动能与负载计
</t>
    </r>
    <r>
      <rPr>
        <sz val="11"/>
        <color theme="1"/>
        <rFont val="Tahoma"/>
        <charset val="134"/>
      </rPr>
      <t xml:space="preserve">    </t>
    </r>
    <r>
      <rPr>
        <sz val="11"/>
        <color theme="1"/>
        <rFont val="宋体"/>
        <charset val="134"/>
      </rPr>
      <t xml:space="preserve">算及气缸选型
</t>
    </r>
    <r>
      <rPr>
        <sz val="11"/>
        <color theme="1"/>
        <rFont val="Tahoma"/>
        <charset val="134"/>
      </rPr>
      <t xml:space="preserve">   </t>
    </r>
  </si>
  <si>
    <t>负载力W(N)</t>
  </si>
  <si>
    <t>20(10)</t>
  </si>
  <si>
    <t>10 20 30 40 50 75 100 125 150</t>
  </si>
  <si>
    <t>25(12)</t>
  </si>
  <si>
    <r>
      <rPr>
        <sz val="11"/>
        <color theme="1"/>
        <rFont val="宋体"/>
        <charset val="134"/>
      </rPr>
      <t>负载动能</t>
    </r>
    <r>
      <rPr>
        <sz val="11"/>
        <color theme="1"/>
        <rFont val="Tahoma"/>
        <charset val="134"/>
      </rPr>
      <t>E(J)</t>
    </r>
  </si>
  <si>
    <t>E=1/2m(1.4V/1000)²</t>
  </si>
  <si>
    <r>
      <rPr>
        <sz val="11"/>
        <color theme="1"/>
        <rFont val="宋体"/>
        <charset val="134"/>
      </rPr>
      <t>负载安装校核系数</t>
    </r>
    <r>
      <rPr>
        <sz val="11"/>
        <color theme="1"/>
        <rFont val="Tahoma"/>
        <charset val="134"/>
      </rPr>
      <t>K</t>
    </r>
  </si>
  <si>
    <t>表1A</t>
  </si>
  <si>
    <r>
      <rPr>
        <sz val="11"/>
        <color theme="1"/>
        <rFont val="宋体"/>
        <charset val="134"/>
      </rPr>
      <t>表</t>
    </r>
    <r>
      <rPr>
        <sz val="11"/>
        <color theme="1"/>
        <rFont val="Tahoma"/>
        <charset val="134"/>
      </rPr>
      <t xml:space="preserve">4 </t>
    </r>
    <r>
      <rPr>
        <sz val="11"/>
        <color theme="1"/>
        <rFont val="宋体"/>
        <charset val="134"/>
      </rPr>
      <t>最大允许力矩（</t>
    </r>
    <r>
      <rPr>
        <sz val="11"/>
        <color theme="1"/>
        <rFont val="Tahoma"/>
        <charset val="134"/>
      </rPr>
      <t>Nm</t>
    </r>
    <r>
      <rPr>
        <sz val="11"/>
        <color theme="1"/>
        <rFont val="宋体"/>
        <charset val="134"/>
      </rPr>
      <t>）与补偿系数（</t>
    </r>
    <r>
      <rPr>
        <sz val="11"/>
        <color theme="1"/>
        <rFont val="Tahoma"/>
        <charset val="134"/>
      </rPr>
      <t>mm</t>
    </r>
    <r>
      <rPr>
        <sz val="11"/>
        <color theme="1"/>
        <rFont val="宋体"/>
        <charset val="134"/>
      </rPr>
      <t>）</t>
    </r>
  </si>
  <si>
    <t>允许载荷修正系数β</t>
  </si>
  <si>
    <r>
      <rPr>
        <sz val="11"/>
        <color theme="1"/>
        <rFont val="宋体"/>
        <charset val="134"/>
      </rPr>
      <t>表</t>
    </r>
    <r>
      <rPr>
        <sz val="11"/>
        <color theme="1"/>
        <rFont val="Tahoma"/>
        <charset val="134"/>
      </rPr>
      <t>1B</t>
    </r>
  </si>
  <si>
    <r>
      <rPr>
        <sz val="11"/>
        <color theme="1"/>
        <rFont val="宋体"/>
        <charset val="134"/>
      </rPr>
      <t>要求气缸允许动能</t>
    </r>
    <r>
      <rPr>
        <sz val="11"/>
        <color theme="1"/>
        <rFont val="Tahoma"/>
        <charset val="134"/>
      </rPr>
      <t>Emax(J)</t>
    </r>
  </si>
  <si>
    <r>
      <rPr>
        <sz val="11"/>
        <color theme="1"/>
        <rFont val="宋体"/>
        <charset val="134"/>
      </rPr>
      <t>要求气缸允许负载</t>
    </r>
    <r>
      <rPr>
        <sz val="11"/>
        <color theme="1"/>
        <rFont val="Tahoma"/>
        <charset val="134"/>
      </rPr>
      <t>Wmax(N)</t>
    </r>
  </si>
  <si>
    <t>HLQ滚珠双轴</t>
  </si>
  <si>
    <t>结合运行距离、最小缸径、要求动能和要求负载查表2</t>
  </si>
  <si>
    <t>初选型号</t>
  </si>
  <si>
    <r>
      <rPr>
        <sz val="11"/>
        <color theme="1"/>
        <rFont val="Tahoma"/>
        <charset val="134"/>
      </rPr>
      <t>3</t>
    </r>
    <r>
      <rPr>
        <sz val="11"/>
        <color theme="1"/>
        <rFont val="宋体"/>
        <charset val="134"/>
      </rPr>
      <t>，力矩校核</t>
    </r>
    <r>
      <rPr>
        <sz val="11"/>
        <color theme="1"/>
        <rFont val="Tahoma"/>
        <charset val="134"/>
      </rPr>
      <t xml:space="preserve">
  </t>
    </r>
  </si>
  <si>
    <r>
      <rPr>
        <sz val="11"/>
        <color theme="1"/>
        <rFont val="宋体"/>
        <charset val="134"/>
      </rPr>
      <t>负载偏离位置</t>
    </r>
    <r>
      <rPr>
        <sz val="11"/>
        <color theme="1"/>
        <rFont val="Tahoma"/>
        <charset val="134"/>
      </rPr>
      <t>L1(mm)</t>
    </r>
  </si>
  <si>
    <t>测量方法见附表,用CAD软件测量负载重心位置:
L1到气缸端面距离，
L2到气缸顶面距离，
L3到气缸中线距离。</t>
  </si>
  <si>
    <r>
      <rPr>
        <sz val="11"/>
        <color theme="1"/>
        <rFont val="宋体"/>
        <charset val="134"/>
      </rPr>
      <t>负载偏离位置</t>
    </r>
    <r>
      <rPr>
        <sz val="11"/>
        <color theme="1"/>
        <rFont val="Tahoma"/>
        <charset val="134"/>
      </rPr>
      <t>L2(mm)</t>
    </r>
  </si>
  <si>
    <r>
      <rPr>
        <sz val="11"/>
        <color theme="1"/>
        <rFont val="宋体"/>
        <charset val="134"/>
      </rPr>
      <t>负载偏离位置</t>
    </r>
    <r>
      <rPr>
        <sz val="11"/>
        <color theme="1"/>
        <rFont val="Tahoma"/>
        <charset val="134"/>
      </rPr>
      <t>L3(mm)</t>
    </r>
  </si>
  <si>
    <r>
      <rPr>
        <sz val="11"/>
        <color theme="1"/>
        <rFont val="宋体"/>
        <charset val="134"/>
      </rPr>
      <t>补偿系数</t>
    </r>
    <r>
      <rPr>
        <sz val="11"/>
        <color theme="1"/>
        <rFont val="Tahoma"/>
        <charset val="134"/>
      </rPr>
      <t>A(mm)</t>
    </r>
  </si>
  <si>
    <r>
      <rPr>
        <sz val="11"/>
        <color theme="1"/>
        <rFont val="宋体"/>
        <charset val="134"/>
      </rPr>
      <t>补偿系数</t>
    </r>
    <r>
      <rPr>
        <sz val="11"/>
        <color theme="1"/>
        <rFont val="Tahoma"/>
        <charset val="134"/>
      </rPr>
      <t>B(mm)</t>
    </r>
  </si>
  <si>
    <t>惯性加速度a(m/s²)</t>
  </si>
  <si>
    <r>
      <rPr>
        <sz val="11"/>
        <color theme="1"/>
        <rFont val="宋体"/>
        <charset val="134"/>
      </rPr>
      <t>运行末端力矩</t>
    </r>
    <r>
      <rPr>
        <sz val="11"/>
        <color theme="1"/>
        <rFont val="Tahoma"/>
        <charset val="134"/>
      </rPr>
      <t>Mp0(N.m)</t>
    </r>
  </si>
  <si>
    <r>
      <rPr>
        <sz val="11"/>
        <color theme="1"/>
        <rFont val="宋体"/>
        <charset val="134"/>
      </rPr>
      <t>运行末端力矩</t>
    </r>
    <r>
      <rPr>
        <sz val="11"/>
        <color theme="1"/>
        <rFont val="Tahoma"/>
        <charset val="134"/>
      </rPr>
      <t>Mr0(N.m)</t>
    </r>
  </si>
  <si>
    <r>
      <rPr>
        <sz val="11"/>
        <color theme="1"/>
        <rFont val="宋体"/>
        <charset val="134"/>
      </rPr>
      <t>运行末端力矩</t>
    </r>
    <r>
      <rPr>
        <sz val="11"/>
        <color theme="1"/>
        <rFont val="Tahoma"/>
        <charset val="134"/>
      </rPr>
      <t>My0(N.m)</t>
    </r>
  </si>
  <si>
    <r>
      <rPr>
        <sz val="11"/>
        <color theme="1"/>
        <rFont val="宋体"/>
        <charset val="134"/>
      </rPr>
      <t>运行过程力矩</t>
    </r>
    <r>
      <rPr>
        <sz val="11"/>
        <color theme="1"/>
        <rFont val="Tahoma"/>
        <charset val="134"/>
      </rPr>
      <t>Mp(N.m)</t>
    </r>
  </si>
  <si>
    <r>
      <rPr>
        <sz val="11"/>
        <color theme="1"/>
        <rFont val="宋体"/>
        <charset val="134"/>
      </rPr>
      <t>运行过程力矩</t>
    </r>
    <r>
      <rPr>
        <sz val="11"/>
        <color theme="1"/>
        <rFont val="Tahoma"/>
        <charset val="134"/>
      </rPr>
      <t>Mr(N.m)</t>
    </r>
  </si>
  <si>
    <r>
      <rPr>
        <sz val="11"/>
        <color theme="1"/>
        <rFont val="宋体"/>
        <charset val="134"/>
      </rPr>
      <t>运行过程力矩</t>
    </r>
    <r>
      <rPr>
        <sz val="11"/>
        <color theme="1"/>
        <rFont val="Tahoma"/>
        <charset val="134"/>
      </rPr>
      <t>My(N.m)</t>
    </r>
  </si>
  <si>
    <t>最大允许力矩Mp0max(N.m)</t>
  </si>
  <si>
    <t>最大允许力矩Mr0max(N.m)</t>
  </si>
  <si>
    <t>最大允许力矩My0max(N.m)</t>
  </si>
  <si>
    <t>最大允许力矩Mpmax(N.m)</t>
  </si>
  <si>
    <t>最大允许力矩Mrmax(N.m)</t>
  </si>
  <si>
    <t>最大允许力矩Mymax(N.m)</t>
  </si>
  <si>
    <t>运行末端力矩M0(N.m)</t>
  </si>
  <si>
    <t>运行过程力矩M(N.m)</t>
  </si>
  <si>
    <t>确认型号</t>
  </si>
  <si>
    <r>
      <rPr>
        <sz val="12"/>
        <color theme="1"/>
        <rFont val="宋体"/>
        <charset val="134"/>
      </rPr>
      <t>说明：</t>
    </r>
    <r>
      <rPr>
        <sz val="12"/>
        <color theme="1"/>
        <rFont val="Tahoma"/>
        <charset val="134"/>
      </rPr>
      <t xml:space="preserve"> </t>
    </r>
    <r>
      <rPr>
        <sz val="12"/>
        <color theme="1"/>
        <rFont val="宋体"/>
        <charset val="134"/>
      </rPr>
      <t xml:space="preserve">
</t>
    </r>
    <r>
      <rPr>
        <sz val="12"/>
        <color theme="1"/>
        <rFont val="Tahoma"/>
        <charset val="134"/>
      </rPr>
      <t xml:space="preserve">    1</t>
    </r>
    <r>
      <rPr>
        <sz val="12"/>
        <color theme="1"/>
        <rFont val="宋体"/>
        <charset val="134"/>
      </rPr>
      <t>，重心位置</t>
    </r>
    <r>
      <rPr>
        <sz val="12"/>
        <color theme="1"/>
        <rFont val="Tahoma"/>
        <charset val="134"/>
      </rPr>
      <t>L1</t>
    </r>
    <r>
      <rPr>
        <sz val="12"/>
        <color theme="1"/>
        <rFont val="宋体"/>
        <charset val="134"/>
      </rPr>
      <t>、</t>
    </r>
    <r>
      <rPr>
        <sz val="12"/>
        <color theme="1"/>
        <rFont val="Tahoma"/>
        <charset val="134"/>
      </rPr>
      <t>L2</t>
    </r>
    <r>
      <rPr>
        <sz val="12"/>
        <color theme="1"/>
        <rFont val="宋体"/>
        <charset val="134"/>
      </rPr>
      <t>、</t>
    </r>
    <r>
      <rPr>
        <sz val="12"/>
        <color theme="1"/>
        <rFont val="Tahoma"/>
        <charset val="134"/>
      </rPr>
      <t>L3</t>
    </r>
    <r>
      <rPr>
        <sz val="12"/>
        <color theme="1"/>
        <rFont val="宋体"/>
        <charset val="134"/>
      </rPr>
      <t>可在</t>
    </r>
    <r>
      <rPr>
        <sz val="12"/>
        <color theme="1"/>
        <rFont val="Tahoma"/>
        <charset val="134"/>
      </rPr>
      <t>CAD</t>
    </r>
    <r>
      <rPr>
        <sz val="12"/>
        <color theme="1"/>
        <rFont val="宋体"/>
        <charset val="134"/>
      </rPr>
      <t>软件也可查询</t>
    </r>
    <r>
      <rPr>
        <sz val="12"/>
        <color theme="1"/>
        <rFont val="Tahoma"/>
        <charset val="134"/>
      </rPr>
      <t xml:space="preserve">
    2</t>
    </r>
    <r>
      <rPr>
        <sz val="12"/>
        <color theme="1"/>
        <rFont val="宋体"/>
        <charset val="134"/>
      </rPr>
      <t>，力矩校核详细步骤见附表</t>
    </r>
  </si>
  <si>
    <r>
      <rPr>
        <sz val="11"/>
        <color theme="1"/>
        <rFont val="宋体"/>
        <charset val="134"/>
      </rPr>
      <t>文档信息
编写：煜宸
参考：《亚德客产品型录</t>
    </r>
    <r>
      <rPr>
        <sz val="11"/>
        <color theme="1"/>
        <rFont val="Tahoma"/>
        <charset val="134"/>
      </rPr>
      <t>2018</t>
    </r>
    <r>
      <rPr>
        <sz val="11"/>
        <color theme="1"/>
        <rFont val="宋体"/>
        <charset val="134"/>
      </rPr>
      <t xml:space="preserve">》
</t>
    </r>
    <r>
      <rPr>
        <sz val="11"/>
        <color theme="1"/>
        <rFont val="Tahoma"/>
        <charset val="134"/>
      </rPr>
      <t xml:space="preserve">         </t>
    </r>
    <r>
      <rPr>
        <sz val="11"/>
        <color theme="1"/>
        <rFont val="宋体"/>
        <charset val="134"/>
      </rPr>
      <t>《滑台气缸选型》</t>
    </r>
    <r>
      <rPr>
        <sz val="11"/>
        <color theme="1"/>
        <rFont val="Tahoma"/>
        <charset val="134"/>
      </rPr>
      <t>——(</t>
    </r>
    <r>
      <rPr>
        <sz val="11"/>
        <color theme="1"/>
        <rFont val="宋体"/>
        <charset val="134"/>
      </rPr>
      <t>前桥教育</t>
    </r>
    <r>
      <rPr>
        <sz val="11"/>
        <color theme="1"/>
        <rFont val="Tahoma"/>
        <charset val="134"/>
      </rPr>
      <t xml:space="preserve">) </t>
    </r>
    <r>
      <rPr>
        <sz val="11"/>
        <color theme="1"/>
        <rFont val="宋体"/>
        <charset val="134"/>
      </rPr>
      <t>宣言</t>
    </r>
    <r>
      <rPr>
        <sz val="11"/>
        <color theme="1"/>
        <rFont val="Tahoma"/>
        <charset val="134"/>
      </rPr>
      <t xml:space="preserve"> 
                                                                                                 2018.8.12   </t>
    </r>
  </si>
  <si>
    <t>附表 力矩校核过程</t>
  </si>
  <si>
    <r>
      <rPr>
        <b/>
        <sz val="16"/>
        <color theme="1"/>
        <rFont val="Tahoma"/>
        <charset val="134"/>
      </rPr>
      <t xml:space="preserve">           </t>
    </r>
    <r>
      <rPr>
        <b/>
        <sz val="16"/>
        <color theme="1"/>
        <rFont val="宋体"/>
        <charset val="134"/>
      </rPr>
      <t>气动手指选型向导</t>
    </r>
    <r>
      <rPr>
        <b/>
        <sz val="16"/>
        <color theme="1"/>
        <rFont val="Tahoma"/>
        <charset val="134"/>
      </rPr>
      <t>(</t>
    </r>
    <r>
      <rPr>
        <b/>
        <sz val="16"/>
        <color theme="1"/>
        <rFont val="宋体"/>
        <charset val="134"/>
      </rPr>
      <t>以亚德客平行导轨为例</t>
    </r>
    <r>
      <rPr>
        <b/>
        <sz val="16"/>
        <color theme="1"/>
        <rFont val="Tahoma"/>
        <charset val="134"/>
      </rPr>
      <t>)</t>
    </r>
  </si>
  <si>
    <t>选型图</t>
  </si>
  <si>
    <r>
      <rPr>
        <sz val="11"/>
        <color theme="1"/>
        <rFont val="宋体"/>
        <charset val="134"/>
      </rPr>
      <t>夹持点离端面距离</t>
    </r>
    <r>
      <rPr>
        <sz val="11"/>
        <color theme="1"/>
        <rFont val="Tahoma"/>
        <charset val="134"/>
      </rPr>
      <t>L(mm)</t>
    </r>
  </si>
  <si>
    <r>
      <rPr>
        <sz val="11"/>
        <color theme="1"/>
        <rFont val="宋体"/>
        <charset val="134"/>
      </rPr>
      <t>安全系数</t>
    </r>
    <r>
      <rPr>
        <sz val="11"/>
        <color theme="1"/>
        <rFont val="Tahoma"/>
        <charset val="134"/>
      </rPr>
      <t>a</t>
    </r>
  </si>
  <si>
    <r>
      <rPr>
        <sz val="11"/>
        <color theme="1"/>
        <rFont val="宋体"/>
        <charset val="134"/>
      </rPr>
      <t>常取</t>
    </r>
    <r>
      <rPr>
        <sz val="11"/>
        <color theme="1"/>
        <rFont val="Tahoma"/>
        <charset val="134"/>
      </rPr>
      <t>4</t>
    </r>
  </si>
  <si>
    <t>见说明</t>
  </si>
  <si>
    <r>
      <rPr>
        <sz val="11"/>
        <color theme="1"/>
        <rFont val="Tahoma"/>
        <charset val="134"/>
      </rPr>
      <t>1</t>
    </r>
    <r>
      <rPr>
        <sz val="11"/>
        <color theme="1"/>
        <rFont val="宋体"/>
        <charset val="134"/>
      </rPr>
      <t>，计算与选型</t>
    </r>
  </si>
  <si>
    <r>
      <rPr>
        <sz val="11"/>
        <color theme="1"/>
        <rFont val="宋体"/>
        <charset val="134"/>
      </rPr>
      <t>负载需最小夹持力</t>
    </r>
    <r>
      <rPr>
        <sz val="11"/>
        <color theme="1"/>
        <rFont val="Tahoma"/>
        <charset val="134"/>
      </rPr>
      <t>F0(N)</t>
    </r>
  </si>
  <si>
    <t>HFZ/HFK复动型</t>
  </si>
  <si>
    <t>最小型号</t>
  </si>
  <si>
    <r>
      <rPr>
        <sz val="12"/>
        <color theme="1"/>
        <rFont val="宋体"/>
        <charset val="134"/>
      </rPr>
      <t>说明：</t>
    </r>
    <r>
      <rPr>
        <sz val="12"/>
        <color theme="1"/>
        <rFont val="Tahoma"/>
        <charset val="134"/>
      </rPr>
      <t xml:space="preserve"> </t>
    </r>
    <r>
      <rPr>
        <sz val="12"/>
        <color theme="1"/>
        <rFont val="宋体"/>
        <charset val="134"/>
      </rPr>
      <t xml:space="preserve">
</t>
    </r>
    <r>
      <rPr>
        <sz val="12"/>
        <color theme="1"/>
        <rFont val="Tahoma"/>
        <charset val="134"/>
      </rPr>
      <t xml:space="preserve">    1</t>
    </r>
    <r>
      <rPr>
        <sz val="12"/>
        <color theme="1"/>
        <rFont val="宋体"/>
        <charset val="134"/>
      </rPr>
      <t>，各材料摩擦系数见附表，取值应比附表数值小；</t>
    </r>
    <r>
      <rPr>
        <sz val="12"/>
        <color theme="1"/>
        <rFont val="Tahoma"/>
        <charset val="134"/>
      </rPr>
      <t xml:space="preserve">
    2</t>
    </r>
    <r>
      <rPr>
        <sz val="12"/>
        <color theme="1"/>
        <rFont val="宋体"/>
        <charset val="134"/>
      </rPr>
      <t>，</t>
    </r>
    <r>
      <rPr>
        <sz val="12"/>
        <color theme="1"/>
        <rFont val="Tahoma"/>
        <charset val="134"/>
      </rPr>
      <t>HFZ</t>
    </r>
    <r>
      <rPr>
        <sz val="12"/>
        <color theme="1"/>
        <rFont val="宋体"/>
        <charset val="134"/>
      </rPr>
      <t>表示</t>
    </r>
    <r>
      <rPr>
        <sz val="12"/>
        <color rgb="FFFF0000"/>
        <rFont val="宋体"/>
        <charset val="134"/>
      </rPr>
      <t>滚珠</t>
    </r>
    <r>
      <rPr>
        <sz val="12"/>
        <color theme="1"/>
        <rFont val="宋体"/>
        <charset val="134"/>
      </rPr>
      <t>式带轨道平行手指，</t>
    </r>
    <r>
      <rPr>
        <sz val="12"/>
        <color theme="1"/>
        <rFont val="Tahoma"/>
        <charset val="134"/>
      </rPr>
      <t>HFK</t>
    </r>
    <r>
      <rPr>
        <sz val="12"/>
        <color theme="1"/>
        <rFont val="宋体"/>
        <charset val="134"/>
      </rPr>
      <t>表示</t>
    </r>
    <r>
      <rPr>
        <sz val="12"/>
        <color rgb="FFFF0000"/>
        <rFont val="宋体"/>
        <charset val="134"/>
      </rPr>
      <t>滚柱</t>
    </r>
    <r>
      <rPr>
        <sz val="12"/>
        <color theme="1"/>
        <rFont val="宋体"/>
        <charset val="134"/>
      </rPr>
      <t>式带轨道平行手指，含</t>
    </r>
    <r>
      <rPr>
        <sz val="12"/>
        <color theme="1"/>
        <rFont val="Tahoma"/>
        <charset val="134"/>
      </rPr>
      <t>T</t>
    </r>
    <r>
      <rPr>
        <sz val="12"/>
        <color theme="1"/>
        <rFont val="宋体"/>
        <charset val="134"/>
      </rPr>
      <t>表示单动常开型，带</t>
    </r>
    <r>
      <rPr>
        <sz val="12"/>
        <color theme="1"/>
        <rFont val="Tahoma"/>
        <charset val="134"/>
      </rPr>
      <t>S</t>
    </r>
    <r>
      <rPr>
        <sz val="12"/>
        <color theme="1"/>
        <rFont val="宋体"/>
        <charset val="134"/>
      </rPr>
      <t>表示单动常闭型；</t>
    </r>
    <r>
      <rPr>
        <sz val="12"/>
        <color theme="1"/>
        <rFont val="Tahoma"/>
        <charset val="134"/>
      </rPr>
      <t xml:space="preserve">
    3</t>
    </r>
    <r>
      <rPr>
        <sz val="12"/>
        <color theme="1"/>
        <rFont val="宋体"/>
        <charset val="134"/>
      </rPr>
      <t>，受力分析如下图：</t>
    </r>
  </si>
  <si>
    <r>
      <rPr>
        <sz val="11"/>
        <color theme="1"/>
        <rFont val="宋体"/>
        <charset val="134"/>
      </rPr>
      <t>文档信息
编写：煜宸
参考：《亚德客产品型录</t>
    </r>
    <r>
      <rPr>
        <sz val="11"/>
        <color theme="1"/>
        <rFont val="Tahoma"/>
        <charset val="134"/>
      </rPr>
      <t>2018</t>
    </r>
    <r>
      <rPr>
        <sz val="11"/>
        <color theme="1"/>
        <rFont val="宋体"/>
        <charset val="134"/>
      </rPr>
      <t xml:space="preserve">》
</t>
    </r>
    <r>
      <rPr>
        <sz val="11"/>
        <color theme="1"/>
        <rFont val="Tahoma"/>
        <charset val="134"/>
      </rPr>
      <t xml:space="preserve">         </t>
    </r>
    <r>
      <rPr>
        <sz val="11"/>
        <color theme="1"/>
        <rFont val="宋体"/>
        <charset val="134"/>
      </rPr>
      <t>《气动手指选型》</t>
    </r>
    <r>
      <rPr>
        <sz val="11"/>
        <color theme="1"/>
        <rFont val="Tahoma"/>
        <charset val="134"/>
      </rPr>
      <t>——(</t>
    </r>
    <r>
      <rPr>
        <sz val="11"/>
        <color theme="1"/>
        <rFont val="宋体"/>
        <charset val="134"/>
      </rPr>
      <t>前桥教育</t>
    </r>
    <r>
      <rPr>
        <sz val="11"/>
        <color theme="1"/>
        <rFont val="Tahoma"/>
        <charset val="134"/>
      </rPr>
      <t xml:space="preserve">) </t>
    </r>
    <r>
      <rPr>
        <sz val="11"/>
        <color theme="1"/>
        <rFont val="宋体"/>
        <charset val="134"/>
      </rPr>
      <t>宣言</t>
    </r>
    <r>
      <rPr>
        <sz val="11"/>
        <color theme="1"/>
        <rFont val="Tahoma"/>
        <charset val="134"/>
      </rPr>
      <t xml:space="preserve"> 
                                                                                                 2018.8.12   </t>
    </r>
  </si>
  <si>
    <r>
      <rPr>
        <sz val="11"/>
        <color theme="1"/>
        <rFont val="宋体"/>
        <charset val="134"/>
      </rPr>
      <t>附表</t>
    </r>
    <r>
      <rPr>
        <sz val="11"/>
        <color theme="1"/>
        <rFont val="Tahoma"/>
        <charset val="134"/>
      </rPr>
      <t xml:space="preserve"> </t>
    </r>
    <r>
      <rPr>
        <sz val="11"/>
        <color theme="1"/>
        <rFont val="宋体"/>
        <charset val="134"/>
      </rPr>
      <t>各材料摩擦系数</t>
    </r>
  </si>
  <si>
    <t xml:space="preserve">      耗气量计算与电磁阀/节流阀/减压阀选用</t>
  </si>
  <si>
    <t>计算公式(注意单位换算)</t>
  </si>
  <si>
    <t>已知条件：气缸缸径、气缸最大速度、工作压力</t>
  </si>
  <si>
    <r>
      <rPr>
        <sz val="11"/>
        <color theme="1"/>
        <rFont val="宋体"/>
        <charset val="134"/>
      </rPr>
      <t>气缸缸径</t>
    </r>
    <r>
      <rPr>
        <sz val="11"/>
        <color theme="1"/>
        <rFont val="Tahoma"/>
        <charset val="134"/>
      </rPr>
      <t>D(mm)</t>
    </r>
  </si>
  <si>
    <r>
      <rPr>
        <sz val="11"/>
        <color theme="1"/>
        <rFont val="宋体"/>
        <charset val="134"/>
      </rPr>
      <t>最大速度</t>
    </r>
    <r>
      <rPr>
        <sz val="11"/>
        <color theme="1"/>
        <rFont val="Tahoma"/>
        <charset val="134"/>
      </rPr>
      <t>Vmax(mm/s)</t>
    </r>
  </si>
  <si>
    <t>可估算为2倍平均速度</t>
  </si>
  <si>
    <r>
      <rPr>
        <sz val="11"/>
        <color theme="1"/>
        <rFont val="宋体"/>
        <charset val="134"/>
      </rPr>
      <t>电磁阀进气压力</t>
    </r>
    <r>
      <rPr>
        <sz val="11"/>
        <color theme="1"/>
        <rFont val="Tahoma"/>
        <charset val="134"/>
      </rPr>
      <t>P(MPa)</t>
    </r>
  </si>
  <si>
    <r>
      <rPr>
        <sz val="11"/>
        <color theme="1"/>
        <rFont val="宋体"/>
        <charset val="134"/>
      </rPr>
      <t>气缸进气压力</t>
    </r>
    <r>
      <rPr>
        <sz val="11"/>
        <color theme="1"/>
        <rFont val="Tahoma"/>
        <charset val="134"/>
      </rPr>
      <t>P2(MPa)</t>
    </r>
  </si>
  <si>
    <r>
      <rPr>
        <sz val="11"/>
        <color theme="1"/>
        <rFont val="Tahoma"/>
        <charset val="134"/>
      </rPr>
      <t>1</t>
    </r>
    <r>
      <rPr>
        <sz val="11"/>
        <color theme="1"/>
        <rFont val="宋体"/>
        <charset val="134"/>
      </rPr>
      <t>，计算耗流量</t>
    </r>
  </si>
  <si>
    <r>
      <rPr>
        <sz val="11"/>
        <color theme="1"/>
        <rFont val="宋体"/>
        <charset val="134"/>
      </rPr>
      <t>压力降△</t>
    </r>
    <r>
      <rPr>
        <sz val="11"/>
        <color theme="1"/>
        <rFont val="Tahoma"/>
        <charset val="134"/>
      </rPr>
      <t>P(MPa)</t>
    </r>
  </si>
  <si>
    <t>SMC电磁阀样本截图</t>
  </si>
  <si>
    <r>
      <rPr>
        <sz val="11"/>
        <color theme="1"/>
        <rFont val="宋体"/>
        <charset val="134"/>
      </rPr>
      <t>最大耗气量</t>
    </r>
    <r>
      <rPr>
        <sz val="11"/>
        <color theme="1"/>
        <rFont val="Tahoma"/>
        <charset val="134"/>
      </rPr>
      <t>Qmax(L/min)</t>
    </r>
  </si>
  <si>
    <r>
      <rPr>
        <sz val="11"/>
        <color theme="1"/>
        <rFont val="宋体"/>
        <charset val="134"/>
      </rPr>
      <t>所需总流量</t>
    </r>
    <r>
      <rPr>
        <sz val="11"/>
        <color theme="1"/>
        <rFont val="Tahoma"/>
        <charset val="134"/>
      </rPr>
      <t>Q(L/min)</t>
    </r>
  </si>
  <si>
    <r>
      <rPr>
        <sz val="11"/>
        <color theme="1"/>
        <rFont val="宋体"/>
        <charset val="134"/>
      </rPr>
      <t>所有气缸</t>
    </r>
    <r>
      <rPr>
        <sz val="11"/>
        <color theme="1"/>
        <rFont val="Tahoma"/>
        <charset val="134"/>
      </rPr>
      <t>Qmax</t>
    </r>
    <r>
      <rPr>
        <sz val="11"/>
        <color theme="1"/>
        <rFont val="宋体"/>
        <charset val="134"/>
      </rPr>
      <t>之和</t>
    </r>
  </si>
  <si>
    <r>
      <rPr>
        <sz val="11"/>
        <color theme="1"/>
        <rFont val="Tahoma"/>
        <charset val="134"/>
      </rPr>
      <t>2</t>
    </r>
    <r>
      <rPr>
        <sz val="11"/>
        <color theme="1"/>
        <rFont val="宋体"/>
        <charset val="134"/>
      </rPr>
      <t xml:space="preserve">，配管内径、
</t>
    </r>
    <r>
      <rPr>
        <sz val="11"/>
        <color theme="1"/>
        <rFont val="Tahoma"/>
        <charset val="134"/>
      </rPr>
      <t xml:space="preserve">    </t>
    </r>
    <r>
      <rPr>
        <sz val="11"/>
        <color theme="1"/>
        <rFont val="宋体"/>
        <charset val="134"/>
      </rPr>
      <t xml:space="preserve">电磁阀与节
</t>
    </r>
    <r>
      <rPr>
        <sz val="11"/>
        <color theme="1"/>
        <rFont val="Tahoma"/>
        <charset val="134"/>
      </rPr>
      <t xml:space="preserve">    </t>
    </r>
    <r>
      <rPr>
        <sz val="11"/>
        <color theme="1"/>
        <rFont val="宋体"/>
        <charset val="134"/>
      </rPr>
      <t>流阀选型</t>
    </r>
  </si>
  <si>
    <r>
      <rPr>
        <sz val="11"/>
        <color theme="1"/>
        <rFont val="宋体"/>
        <charset val="134"/>
      </rPr>
      <t>最低流通能力</t>
    </r>
    <r>
      <rPr>
        <sz val="11"/>
        <color theme="1"/>
        <rFont val="Tahoma"/>
        <charset val="134"/>
      </rPr>
      <t>Cv</t>
    </r>
  </si>
  <si>
    <r>
      <rPr>
        <sz val="11"/>
        <color theme="1"/>
        <rFont val="宋体"/>
        <charset val="134"/>
      </rPr>
      <t>根据</t>
    </r>
    <r>
      <rPr>
        <sz val="11"/>
        <color theme="1"/>
        <rFont val="Tahoma"/>
        <charset val="134"/>
      </rPr>
      <t>Cv</t>
    </r>
    <r>
      <rPr>
        <sz val="11"/>
        <color theme="1"/>
        <rFont val="宋体"/>
        <charset val="134"/>
      </rPr>
      <t>或</t>
    </r>
    <r>
      <rPr>
        <sz val="11"/>
        <color theme="1"/>
        <rFont val="Tahoma"/>
        <charset val="134"/>
      </rPr>
      <t>S</t>
    </r>
    <r>
      <rPr>
        <sz val="11"/>
        <color theme="1"/>
        <rFont val="宋体"/>
        <charset val="134"/>
      </rPr>
      <t>查厂家样本，要求电磁阀</t>
    </r>
    <r>
      <rPr>
        <sz val="11"/>
        <color theme="1"/>
        <rFont val="Tahoma"/>
        <charset val="134"/>
      </rPr>
      <t>/</t>
    </r>
    <r>
      <rPr>
        <sz val="11"/>
        <color theme="1"/>
        <rFont val="宋体"/>
        <charset val="134"/>
      </rPr>
      <t>节流阀允许流通量</t>
    </r>
    <r>
      <rPr>
        <sz val="11"/>
        <color theme="1"/>
        <rFont val="Tahoma"/>
        <charset val="134"/>
      </rPr>
      <t>(</t>
    </r>
    <r>
      <rPr>
        <sz val="11"/>
        <color theme="1"/>
        <rFont val="宋体"/>
        <charset val="134"/>
      </rPr>
      <t>或允许流通面积必须</t>
    </r>
    <r>
      <rPr>
        <sz val="11"/>
        <color theme="1"/>
        <rFont val="Tahoma"/>
        <charset val="134"/>
      </rPr>
      <t>)</t>
    </r>
    <r>
      <rPr>
        <sz val="11"/>
        <color theme="1"/>
        <rFont val="宋体"/>
        <charset val="134"/>
      </rPr>
      <t>≥计算值</t>
    </r>
  </si>
  <si>
    <r>
      <rPr>
        <sz val="11"/>
        <color theme="1"/>
        <rFont val="宋体"/>
        <charset val="134"/>
      </rPr>
      <t>最小流通面积</t>
    </r>
    <r>
      <rPr>
        <sz val="11"/>
        <color theme="1"/>
        <rFont val="Tahoma"/>
        <charset val="134"/>
      </rPr>
      <t>S(mm²)</t>
    </r>
  </si>
  <si>
    <t>所需配管最小内径(mm)</t>
  </si>
  <si>
    <t>电磁阀型号</t>
  </si>
  <si>
    <t>节流阀型号</t>
  </si>
  <si>
    <r>
      <rPr>
        <sz val="11"/>
        <color theme="1"/>
        <rFont val="Tahoma"/>
        <charset val="134"/>
      </rPr>
      <t>3</t>
    </r>
    <r>
      <rPr>
        <sz val="11"/>
        <color theme="1"/>
        <rFont val="宋体"/>
        <charset val="134"/>
      </rPr>
      <t xml:space="preserve">，减压阀或三
</t>
    </r>
    <r>
      <rPr>
        <sz val="11"/>
        <color theme="1"/>
        <rFont val="Tahoma"/>
        <charset val="134"/>
      </rPr>
      <t xml:space="preserve">    </t>
    </r>
    <r>
      <rPr>
        <sz val="11"/>
        <color theme="1"/>
        <rFont val="宋体"/>
        <charset val="134"/>
      </rPr>
      <t>联件选型</t>
    </r>
  </si>
  <si>
    <r>
      <rPr>
        <sz val="11"/>
        <color theme="1"/>
        <rFont val="宋体"/>
        <charset val="134"/>
      </rPr>
      <t>减压阀进气压</t>
    </r>
    <r>
      <rPr>
        <sz val="11"/>
        <color theme="1"/>
        <rFont val="Tahoma"/>
        <charset val="134"/>
      </rPr>
      <t>P0(MPa)</t>
    </r>
  </si>
  <si>
    <r>
      <rPr>
        <sz val="11"/>
        <color theme="1"/>
        <rFont val="宋体"/>
        <charset val="134"/>
      </rPr>
      <t>减压阀出气压</t>
    </r>
    <r>
      <rPr>
        <sz val="11"/>
        <color theme="1"/>
        <rFont val="Tahoma"/>
        <charset val="134"/>
      </rPr>
      <t>P(MPa)</t>
    </r>
  </si>
  <si>
    <t>即电磁阀进气压</t>
  </si>
  <si>
    <t>所需减压阀流量(L/min)</t>
  </si>
  <si>
    <r>
      <rPr>
        <sz val="11"/>
        <color theme="1"/>
        <rFont val="宋体"/>
        <charset val="134"/>
      </rPr>
      <t>已换算到</t>
    </r>
    <r>
      <rPr>
        <sz val="11"/>
        <color theme="1"/>
        <rFont val="Tahoma"/>
        <charset val="134"/>
      </rPr>
      <t>P0=0.7MPa</t>
    </r>
  </si>
  <si>
    <t>三联件型号</t>
  </si>
  <si>
    <t>查看样本</t>
  </si>
  <si>
    <t>减压阀型号</t>
  </si>
  <si>
    <t>GR200</t>
  </si>
  <si>
    <t>4，平均耗气量
   计算(选做)</t>
  </si>
  <si>
    <r>
      <rPr>
        <sz val="11"/>
        <color theme="1"/>
        <rFont val="宋体"/>
        <charset val="134"/>
      </rPr>
      <t>气缸工作频率</t>
    </r>
    <r>
      <rPr>
        <sz val="11"/>
        <color theme="1"/>
        <rFont val="Tahoma"/>
        <charset val="134"/>
      </rPr>
      <t>(</t>
    </r>
    <r>
      <rPr>
        <sz val="11"/>
        <color theme="1"/>
        <rFont val="宋体"/>
        <charset val="134"/>
      </rPr>
      <t>次</t>
    </r>
    <r>
      <rPr>
        <sz val="11"/>
        <color theme="1"/>
        <rFont val="Tahoma"/>
        <charset val="134"/>
      </rPr>
      <t>/min)</t>
    </r>
  </si>
  <si>
    <r>
      <rPr>
        <sz val="11"/>
        <color theme="1"/>
        <rFont val="宋体"/>
        <charset val="134"/>
      </rPr>
      <t>气缸行程</t>
    </r>
    <r>
      <rPr>
        <sz val="11"/>
        <color theme="1"/>
        <rFont val="Tahoma"/>
        <charset val="134"/>
      </rPr>
      <t>L(mm)</t>
    </r>
  </si>
  <si>
    <r>
      <rPr>
        <sz val="11"/>
        <color theme="1"/>
        <rFont val="Tahoma"/>
        <charset val="134"/>
      </rPr>
      <t>SMC</t>
    </r>
    <r>
      <rPr>
        <sz val="11"/>
        <color theme="1"/>
        <rFont val="宋体"/>
        <charset val="134"/>
      </rPr>
      <t>节流阀样本截图</t>
    </r>
  </si>
  <si>
    <t>配管内径d(mm)</t>
  </si>
  <si>
    <t>配管长度Ld(mm)</t>
  </si>
  <si>
    <t>平均耗气量Qca</t>
  </si>
  <si>
    <t>此气缸平均耗气量</t>
  </si>
  <si>
    <r>
      <rPr>
        <sz val="11"/>
        <color theme="1"/>
        <rFont val="宋体"/>
        <charset val="134"/>
      </rPr>
      <t>总平均耗气量</t>
    </r>
    <r>
      <rPr>
        <sz val="11"/>
        <color theme="1"/>
        <rFont val="Tahoma"/>
        <charset val="134"/>
      </rPr>
      <t>Qca</t>
    </r>
  </si>
  <si>
    <t>用于选空压机</t>
  </si>
  <si>
    <r>
      <rPr>
        <sz val="11"/>
        <color theme="1"/>
        <rFont val="宋体"/>
        <charset val="134"/>
      </rPr>
      <t>说明：</t>
    </r>
    <r>
      <rPr>
        <sz val="11"/>
        <color theme="1"/>
        <rFont val="Tahoma"/>
        <charset val="134"/>
      </rPr>
      <t xml:space="preserve"> 
    1</t>
    </r>
    <r>
      <rPr>
        <sz val="11"/>
        <color theme="1"/>
        <rFont val="宋体"/>
        <charset val="134"/>
      </rPr>
      <t>，最大耗气量用于选定控制阀、空气处理元件及配管尺寸，平均耗气量用于选用空压机、计算运行成本，平均耗气量与最大耗气量之差用于选定气罐容积；</t>
    </r>
    <r>
      <rPr>
        <sz val="11"/>
        <color theme="1"/>
        <rFont val="Tahoma"/>
        <charset val="134"/>
      </rPr>
      <t xml:space="preserve">
    2</t>
    </r>
    <r>
      <rPr>
        <sz val="11"/>
        <color theme="1"/>
        <rFont val="宋体"/>
        <charset val="134"/>
      </rPr>
      <t>，一个电磁阀控制一个气缸可以只通过气管管径选用，一个电磁阀控制多个气缸需要算</t>
    </r>
    <r>
      <rPr>
        <sz val="11"/>
        <color theme="1"/>
        <rFont val="Tahoma"/>
        <charset val="134"/>
      </rPr>
      <t>Cv</t>
    </r>
    <r>
      <rPr>
        <sz val="11"/>
        <color theme="1"/>
        <rFont val="宋体"/>
        <charset val="134"/>
      </rPr>
      <t>和</t>
    </r>
    <r>
      <rPr>
        <sz val="11"/>
        <color theme="1"/>
        <rFont val="Tahoma"/>
        <charset val="134"/>
      </rPr>
      <t>S</t>
    </r>
    <r>
      <rPr>
        <sz val="11"/>
        <color theme="1"/>
        <rFont val="宋体"/>
        <charset val="134"/>
      </rPr>
      <t xml:space="preserve">；
</t>
    </r>
    <r>
      <rPr>
        <sz val="11"/>
        <color theme="1"/>
        <rFont val="Tahoma"/>
        <charset val="134"/>
      </rPr>
      <t xml:space="preserve">    3</t>
    </r>
    <r>
      <rPr>
        <sz val="11"/>
        <color theme="1"/>
        <rFont val="宋体"/>
        <charset val="134"/>
      </rPr>
      <t>，</t>
    </r>
    <r>
      <rPr>
        <sz val="11"/>
        <color rgb="FFFF0000"/>
        <rFont val="宋体"/>
        <charset val="134"/>
      </rPr>
      <t>直动电磁阀相比较先导的启动速度快</t>
    </r>
    <r>
      <rPr>
        <sz val="11"/>
        <color theme="1"/>
        <rFont val="宋体"/>
        <charset val="134"/>
      </rPr>
      <t>，如果用于快速切断的话，建议用直动式的，此外</t>
    </r>
    <r>
      <rPr>
        <sz val="11"/>
        <color rgb="FFFF0000"/>
        <rFont val="宋体"/>
        <charset val="134"/>
      </rPr>
      <t>先导的相比于直动的流通能力要大些</t>
    </r>
    <r>
      <rPr>
        <sz val="11"/>
        <color theme="1"/>
        <rFont val="宋体"/>
        <charset val="134"/>
      </rPr>
      <t>，一般</t>
    </r>
    <r>
      <rPr>
        <sz val="11"/>
        <color theme="1"/>
        <rFont val="Tahoma"/>
        <charset val="134"/>
      </rPr>
      <t>Cv</t>
    </r>
    <r>
      <rPr>
        <sz val="11"/>
        <color theme="1"/>
        <rFont val="宋体"/>
        <charset val="134"/>
      </rPr>
      <t>至可以达到</t>
    </r>
    <r>
      <rPr>
        <sz val="11"/>
        <color theme="1"/>
        <rFont val="Tahoma"/>
        <charset val="134"/>
      </rPr>
      <t>3</t>
    </r>
    <r>
      <rPr>
        <sz val="11"/>
        <color theme="1"/>
        <rFont val="宋体"/>
        <charset val="134"/>
      </rPr>
      <t>以上，而直动的一般</t>
    </r>
    <r>
      <rPr>
        <sz val="11"/>
        <color theme="1"/>
        <rFont val="Tahoma"/>
        <charset val="134"/>
      </rPr>
      <t>Cv</t>
    </r>
    <r>
      <rPr>
        <sz val="11"/>
        <color theme="1"/>
        <rFont val="宋体"/>
        <charset val="134"/>
      </rPr>
      <t>至都小于</t>
    </r>
    <r>
      <rPr>
        <sz val="11"/>
        <color theme="1"/>
        <rFont val="Tahoma"/>
        <charset val="134"/>
      </rPr>
      <t>1</t>
    </r>
    <r>
      <rPr>
        <sz val="11"/>
        <color theme="1"/>
        <rFont val="宋体"/>
        <charset val="134"/>
      </rPr>
      <t>。直动电磁阀是</t>
    </r>
    <r>
      <rPr>
        <sz val="11"/>
        <color theme="1"/>
        <rFont val="Tahoma"/>
        <charset val="134"/>
      </rPr>
      <t>0</t>
    </r>
    <r>
      <rPr>
        <sz val="11"/>
        <color theme="1"/>
        <rFont val="宋体"/>
        <charset val="134"/>
      </rPr>
      <t>压启动，而先导的必须有先导压力，一般在</t>
    </r>
    <r>
      <rPr>
        <sz val="11"/>
        <color theme="1"/>
        <rFont val="Tahoma"/>
        <charset val="134"/>
      </rPr>
      <t>2bar</t>
    </r>
    <r>
      <rPr>
        <sz val="11"/>
        <color theme="1"/>
        <rFont val="宋体"/>
        <charset val="134"/>
      </rPr>
      <t xml:space="preserve">左右。直动的功率要比先导的大，先导的对压缩空气的纯净度要求较高，直动的就没有那么严格了。先导式流通能力大、换向冲击小、寿命长，应用更广泛；
</t>
    </r>
    <r>
      <rPr>
        <sz val="11"/>
        <color theme="1"/>
        <rFont val="Tahoma"/>
        <charset val="134"/>
      </rPr>
      <t xml:space="preserve">    4</t>
    </r>
    <r>
      <rPr>
        <sz val="11"/>
        <color theme="1"/>
        <rFont val="宋体"/>
        <charset val="134"/>
      </rPr>
      <t>，减压阀也可以只根据连接螺纹管径选择。在使用减压阀时，最好使</t>
    </r>
    <r>
      <rPr>
        <sz val="11"/>
        <color theme="1"/>
        <rFont val="Tahoma"/>
        <charset val="134"/>
      </rPr>
      <t xml:space="preserve">  </t>
    </r>
    <r>
      <rPr>
        <sz val="11"/>
        <color theme="1"/>
        <rFont val="宋体"/>
        <charset val="134"/>
      </rPr>
      <t>用上限值的</t>
    </r>
    <r>
      <rPr>
        <sz val="11"/>
        <color theme="1"/>
        <rFont val="Tahoma"/>
        <charset val="134"/>
      </rPr>
      <t>30%-80%</t>
    </r>
    <r>
      <rPr>
        <sz val="11"/>
        <color theme="1"/>
        <rFont val="宋体"/>
        <charset val="134"/>
      </rPr>
      <t>，并应当选用符合这个调压范围的压力表，压力表读数应超过上限值的</t>
    </r>
    <r>
      <rPr>
        <sz val="11"/>
        <color theme="1"/>
        <rFont val="Tahoma"/>
        <charset val="134"/>
      </rPr>
      <t>20%</t>
    </r>
    <r>
      <rPr>
        <sz val="11"/>
        <color theme="1"/>
        <rFont val="宋体"/>
        <charset val="134"/>
      </rPr>
      <t xml:space="preserve">。
</t>
    </r>
    <r>
      <rPr>
        <sz val="11"/>
        <color theme="1"/>
        <rFont val="Tahoma"/>
        <charset val="134"/>
      </rPr>
      <t xml:space="preserve">    5</t>
    </r>
    <r>
      <rPr>
        <sz val="11"/>
        <color theme="1"/>
        <rFont val="宋体"/>
        <charset val="134"/>
      </rPr>
      <t>，按各支路动作的工序，确定最大的瞬时耗气量，各支路中的耗气元件一般来说不是同时工作，按工艺要求有顺序进行，这种情况下总流量可按</t>
    </r>
    <r>
      <rPr>
        <sz val="11"/>
        <color theme="1"/>
        <rFont val="Tahoma"/>
        <charset val="134"/>
      </rPr>
      <t>1.1</t>
    </r>
    <r>
      <rPr>
        <sz val="11"/>
        <color theme="1"/>
        <rFont val="宋体"/>
        <charset val="134"/>
      </rPr>
      <t>倍单体最大耗气量计算，即</t>
    </r>
    <r>
      <rPr>
        <sz val="11"/>
        <color rgb="FFFF0000"/>
        <rFont val="Tahoma"/>
        <charset val="134"/>
      </rPr>
      <t>Q=1.1Qmax</t>
    </r>
    <r>
      <rPr>
        <sz val="11"/>
        <color theme="1"/>
        <rFont val="宋体"/>
        <charset val="134"/>
      </rPr>
      <t>。</t>
    </r>
  </si>
  <si>
    <r>
      <rPr>
        <sz val="12"/>
        <color theme="1"/>
        <rFont val="宋体"/>
        <charset val="134"/>
      </rPr>
      <t>文档信息
编写：煜宸
参考：《耗气量计算与电磁阀选用》</t>
    </r>
    <r>
      <rPr>
        <sz val="12"/>
        <color theme="1"/>
        <rFont val="Tahoma"/>
        <charset val="134"/>
      </rPr>
      <t>——(</t>
    </r>
    <r>
      <rPr>
        <sz val="12"/>
        <color theme="1"/>
        <rFont val="宋体"/>
        <charset val="134"/>
      </rPr>
      <t>前桥教育</t>
    </r>
    <r>
      <rPr>
        <sz val="12"/>
        <color theme="1"/>
        <rFont val="Tahoma"/>
        <charset val="134"/>
      </rPr>
      <t xml:space="preserve">) </t>
    </r>
    <r>
      <rPr>
        <sz val="12"/>
        <color theme="1"/>
        <rFont val="宋体"/>
        <charset val="134"/>
      </rPr>
      <t>宣言</t>
    </r>
    <r>
      <rPr>
        <sz val="12"/>
        <color theme="1"/>
        <rFont val="Tahoma"/>
        <charset val="134"/>
      </rPr>
      <t xml:space="preserve">                                                                                                
                                                                              2018.8.13   </t>
    </r>
  </si>
  <si>
    <r>
      <rPr>
        <sz val="11"/>
        <color theme="1"/>
        <rFont val="Tahoma"/>
        <charset val="134"/>
      </rPr>
      <t>SMC</t>
    </r>
    <r>
      <rPr>
        <sz val="11"/>
        <color theme="1"/>
        <rFont val="宋体"/>
        <charset val="134"/>
      </rPr>
      <t>三联件</t>
    </r>
  </si>
  <si>
    <t>亚德客减压阀样本截图(实际进气压P0不是0.7时按(P0+0.1)/(0.7+0.1)插值)</t>
  </si>
  <si>
    <r>
      <rPr>
        <sz val="11"/>
        <color theme="1"/>
        <rFont val="Tahoma"/>
        <charset val="134"/>
      </rPr>
      <t>SMC</t>
    </r>
    <r>
      <rPr>
        <sz val="11"/>
        <color theme="1"/>
        <rFont val="宋体"/>
        <charset val="134"/>
      </rPr>
      <t>减压阀</t>
    </r>
  </si>
  <si>
    <t xml:space="preserve">    真空吸盘与真空发生器选型向导</t>
  </si>
  <si>
    <t>吸附方式(尽量避免垂直面吸附)</t>
  </si>
  <si>
    <t>已知条件：吸附方式、负载重量、配管内径及长度、吸盘数量、真空度要求等</t>
  </si>
  <si>
    <t>吸附方式</t>
  </si>
  <si>
    <t>上表面</t>
  </si>
  <si>
    <r>
      <rPr>
        <sz val="11"/>
        <color theme="1"/>
        <rFont val="宋体"/>
        <charset val="134"/>
      </rPr>
      <t>负载重量</t>
    </r>
    <r>
      <rPr>
        <sz val="11"/>
        <color theme="1"/>
        <rFont val="Tahoma"/>
        <charset val="134"/>
      </rPr>
      <t>m(kg)</t>
    </r>
  </si>
  <si>
    <t>发生器到吸盘的配管</t>
  </si>
  <si>
    <t>吸盘数量</t>
  </si>
  <si>
    <t>表1 吸附时间比例查询</t>
  </si>
  <si>
    <r>
      <rPr>
        <sz val="11"/>
        <color theme="1"/>
        <rFont val="宋体"/>
        <charset val="134"/>
      </rPr>
      <t>要求真空度</t>
    </r>
    <r>
      <rPr>
        <sz val="11"/>
        <color theme="1"/>
        <rFont val="Tahoma"/>
        <charset val="134"/>
      </rPr>
      <t>P0(KPa)</t>
    </r>
  </si>
  <si>
    <r>
      <rPr>
        <sz val="11"/>
        <color theme="1"/>
        <rFont val="宋体"/>
        <charset val="134"/>
      </rPr>
      <t>≤</t>
    </r>
    <r>
      <rPr>
        <sz val="11"/>
        <color theme="1"/>
        <rFont val="Tahoma"/>
        <charset val="134"/>
      </rPr>
      <t>88,</t>
    </r>
    <r>
      <rPr>
        <sz val="11"/>
        <color theme="1"/>
        <rFont val="宋体"/>
        <charset val="134"/>
      </rPr>
      <t>一般</t>
    </r>
    <r>
      <rPr>
        <sz val="11"/>
        <color theme="1"/>
        <rFont val="Tahoma"/>
        <charset val="134"/>
      </rPr>
      <t>80</t>
    </r>
  </si>
  <si>
    <r>
      <rPr>
        <sz val="11"/>
        <color theme="1"/>
        <rFont val="宋体"/>
        <charset val="134"/>
      </rPr>
      <t>真空度安全系数</t>
    </r>
    <r>
      <rPr>
        <sz val="11"/>
        <color theme="1"/>
        <rFont val="Tahoma"/>
        <charset val="134"/>
      </rPr>
      <t>a</t>
    </r>
  </si>
  <si>
    <r>
      <rPr>
        <sz val="11"/>
        <color theme="1"/>
        <rFont val="Tahoma"/>
        <charset val="134"/>
      </rPr>
      <t>0.63~0.95</t>
    </r>
  </si>
  <si>
    <r>
      <rPr>
        <sz val="11"/>
        <color theme="1"/>
        <rFont val="Tahoma"/>
        <charset val="134"/>
      </rPr>
      <t>1</t>
    </r>
    <r>
      <rPr>
        <sz val="11"/>
        <color theme="1"/>
        <rFont val="宋体"/>
        <charset val="134"/>
      </rPr>
      <t xml:space="preserve">，真空吸盘选
</t>
    </r>
    <r>
      <rPr>
        <sz val="11"/>
        <color theme="1"/>
        <rFont val="Tahoma"/>
        <charset val="134"/>
      </rPr>
      <t xml:space="preserve">     </t>
    </r>
    <r>
      <rPr>
        <sz val="11"/>
        <color theme="1"/>
        <rFont val="宋体"/>
        <charset val="134"/>
      </rPr>
      <t>型计算</t>
    </r>
  </si>
  <si>
    <r>
      <rPr>
        <sz val="11"/>
        <color theme="1"/>
        <rFont val="宋体"/>
        <charset val="134"/>
      </rPr>
      <t>所需吸盘面积</t>
    </r>
    <r>
      <rPr>
        <sz val="11"/>
        <color theme="1"/>
        <rFont val="Tahoma"/>
        <charset val="134"/>
      </rPr>
      <t>S(mm²)</t>
    </r>
  </si>
  <si>
    <r>
      <rPr>
        <sz val="11"/>
        <color theme="1"/>
        <rFont val="宋体"/>
        <charset val="134"/>
      </rPr>
      <t>所需吸盘直径</t>
    </r>
    <r>
      <rPr>
        <sz val="11"/>
        <color theme="1"/>
        <rFont val="Tahoma"/>
        <charset val="134"/>
      </rPr>
      <t>D(mm)</t>
    </r>
  </si>
  <si>
    <t>吸盘型号</t>
  </si>
  <si>
    <t>直径须＞计算值</t>
  </si>
  <si>
    <r>
      <rPr>
        <sz val="11"/>
        <color theme="1"/>
        <rFont val="Tahoma"/>
        <charset val="134"/>
      </rPr>
      <t>2</t>
    </r>
    <r>
      <rPr>
        <sz val="11"/>
        <color theme="1"/>
        <rFont val="宋体"/>
        <charset val="134"/>
      </rPr>
      <t xml:space="preserve">，真空发生器
</t>
    </r>
    <r>
      <rPr>
        <sz val="11"/>
        <color theme="1"/>
        <rFont val="Tahoma"/>
        <charset val="134"/>
      </rPr>
      <t xml:space="preserve">     </t>
    </r>
    <r>
      <rPr>
        <sz val="11"/>
        <color theme="1"/>
        <rFont val="宋体"/>
        <charset val="134"/>
      </rPr>
      <t>选型计算</t>
    </r>
  </si>
  <si>
    <t>所选吸盘直径D(mm)</t>
  </si>
  <si>
    <r>
      <rPr>
        <sz val="11"/>
        <color theme="1"/>
        <rFont val="宋体"/>
        <charset val="134"/>
      </rPr>
      <t>要求吸盘响应时间</t>
    </r>
    <r>
      <rPr>
        <sz val="11"/>
        <color theme="1"/>
        <rFont val="Tahoma"/>
        <charset val="134"/>
      </rPr>
      <t>T(S)</t>
    </r>
  </si>
  <si>
    <t>多久时间必须吸稳</t>
  </si>
  <si>
    <r>
      <rPr>
        <sz val="11"/>
        <color theme="1"/>
        <rFont val="宋体"/>
        <charset val="134"/>
      </rPr>
      <t>配管体积</t>
    </r>
    <r>
      <rPr>
        <sz val="11"/>
        <color theme="1"/>
        <rFont val="Tahoma"/>
        <charset val="134"/>
      </rPr>
      <t>V1(L)</t>
    </r>
  </si>
  <si>
    <r>
      <rPr>
        <sz val="11"/>
        <color theme="1"/>
        <rFont val="宋体"/>
        <charset val="134"/>
      </rPr>
      <t>吸盘体积</t>
    </r>
    <r>
      <rPr>
        <sz val="11"/>
        <color theme="1"/>
        <rFont val="Tahoma"/>
        <charset val="134"/>
      </rPr>
      <t>V2(L)</t>
    </r>
  </si>
  <si>
    <t>可查样本或估算</t>
  </si>
  <si>
    <r>
      <rPr>
        <sz val="11"/>
        <color theme="1"/>
        <rFont val="宋体"/>
        <charset val="134"/>
      </rPr>
      <t>总吸附容积</t>
    </r>
    <r>
      <rPr>
        <sz val="11"/>
        <color theme="1"/>
        <rFont val="Tahoma"/>
        <charset val="134"/>
      </rPr>
      <t>V(L)</t>
    </r>
  </si>
  <si>
    <r>
      <rPr>
        <sz val="11"/>
        <color theme="1"/>
        <rFont val="宋体"/>
        <charset val="134"/>
      </rPr>
      <t>所需真空度</t>
    </r>
    <r>
      <rPr>
        <sz val="11"/>
        <color theme="1"/>
        <rFont val="Tahoma"/>
        <charset val="134"/>
      </rPr>
      <t>P(KPa)</t>
    </r>
  </si>
  <si>
    <r>
      <rPr>
        <sz val="11"/>
        <color theme="1"/>
        <rFont val="宋体"/>
        <charset val="134"/>
      </rPr>
      <t>发生器最大</t>
    </r>
    <r>
      <rPr>
        <sz val="11"/>
        <color theme="1"/>
        <rFont val="Tahoma"/>
        <charset val="134"/>
      </rPr>
      <t>Pv(KPa)</t>
    </r>
  </si>
  <si>
    <t>一般为88kPa</t>
  </si>
  <si>
    <r>
      <rPr>
        <sz val="11"/>
        <color theme="1"/>
        <rFont val="Tahoma"/>
        <charset val="134"/>
      </rPr>
      <t>SMC</t>
    </r>
    <r>
      <rPr>
        <sz val="11"/>
        <color theme="1"/>
        <rFont val="宋体"/>
        <charset val="134"/>
      </rPr>
      <t>真空发生器样本截图</t>
    </r>
  </si>
  <si>
    <t xml:space="preserve"> P/Pv</t>
  </si>
  <si>
    <r>
      <rPr>
        <sz val="11"/>
        <color theme="1"/>
        <rFont val="宋体"/>
        <charset val="134"/>
      </rPr>
      <t>相应时间比例</t>
    </r>
    <r>
      <rPr>
        <sz val="11"/>
        <color theme="1"/>
        <rFont val="Tahoma"/>
        <charset val="134"/>
      </rPr>
      <t>T/T1</t>
    </r>
  </si>
  <si>
    <t>查表1</t>
  </si>
  <si>
    <r>
      <rPr>
        <sz val="11"/>
        <color theme="1"/>
        <rFont val="宋体"/>
        <charset val="134"/>
      </rPr>
      <t>平均吸入流量</t>
    </r>
    <r>
      <rPr>
        <sz val="11"/>
        <color theme="1"/>
        <rFont val="Tahoma"/>
        <charset val="134"/>
      </rPr>
      <t>Q</t>
    </r>
    <r>
      <rPr>
        <vertAlign val="subscript"/>
        <sz val="14"/>
        <color theme="1"/>
        <rFont val="Tahoma"/>
        <charset val="134"/>
      </rPr>
      <t>1</t>
    </r>
    <r>
      <rPr>
        <sz val="11"/>
        <color theme="1"/>
        <rFont val="Tahoma"/>
        <charset val="134"/>
      </rPr>
      <t>(L/min)</t>
    </r>
  </si>
  <si>
    <r>
      <rPr>
        <sz val="11"/>
        <color theme="1"/>
        <rFont val="Tahoma"/>
        <charset val="134"/>
      </rPr>
      <t>Qe=(2~3)*Q1,</t>
    </r>
    <r>
      <rPr>
        <sz val="11"/>
        <color theme="1"/>
        <rFont val="宋体"/>
        <charset val="134"/>
      </rPr>
      <t>管路阻力大则取</t>
    </r>
    <r>
      <rPr>
        <sz val="11"/>
        <color theme="1"/>
        <rFont val="Tahoma"/>
        <charset val="134"/>
      </rPr>
      <t>3*Q</t>
    </r>
    <r>
      <rPr>
        <vertAlign val="subscript"/>
        <sz val="14"/>
        <color theme="1"/>
        <rFont val="Tahoma"/>
        <charset val="134"/>
      </rPr>
      <t>1</t>
    </r>
  </si>
  <si>
    <r>
      <rPr>
        <sz val="11"/>
        <color theme="1"/>
        <rFont val="宋体"/>
        <charset val="134"/>
      </rPr>
      <t>最大吸入流量</t>
    </r>
    <r>
      <rPr>
        <sz val="11"/>
        <color theme="1"/>
        <rFont val="Tahoma"/>
        <charset val="134"/>
      </rPr>
      <t>Qe(L/min)</t>
    </r>
  </si>
  <si>
    <t>真空发生器型号</t>
  </si>
  <si>
    <t>ZH10BS-01-01</t>
  </si>
  <si>
    <r>
      <rPr>
        <sz val="11"/>
        <color theme="1"/>
        <rFont val="宋体"/>
        <charset val="134"/>
      </rPr>
      <t>实际</t>
    </r>
    <r>
      <rPr>
        <sz val="11"/>
        <color theme="1"/>
        <rFont val="Tahoma"/>
        <charset val="134"/>
      </rPr>
      <t>Qe(L/min)</t>
    </r>
  </si>
  <si>
    <t>校核相应时间T(S)</t>
  </si>
  <si>
    <r>
      <rPr>
        <sz val="11"/>
        <color theme="1"/>
        <rFont val="宋体"/>
        <charset val="134"/>
      </rPr>
      <t>说明：</t>
    </r>
    <r>
      <rPr>
        <sz val="11"/>
        <color theme="1"/>
        <rFont val="Tahoma"/>
        <charset val="134"/>
      </rPr>
      <t xml:space="preserve"> 
    1</t>
    </r>
    <r>
      <rPr>
        <sz val="11"/>
        <color theme="1"/>
        <rFont val="宋体"/>
        <charset val="134"/>
      </rPr>
      <t>，真空度单位</t>
    </r>
    <r>
      <rPr>
        <sz val="11"/>
        <color theme="1"/>
        <rFont val="Tahoma"/>
        <charset val="134"/>
      </rPr>
      <t>kPa</t>
    </r>
    <r>
      <rPr>
        <sz val="11"/>
        <color theme="1"/>
        <rFont val="宋体"/>
        <charset val="134"/>
      </rPr>
      <t>，相对大气压</t>
    </r>
    <r>
      <rPr>
        <sz val="11"/>
        <color theme="1"/>
        <rFont val="Tahoma"/>
        <charset val="134"/>
      </rPr>
      <t>101kPa</t>
    </r>
    <r>
      <rPr>
        <sz val="11"/>
        <color theme="1"/>
        <rFont val="宋体"/>
        <charset val="134"/>
      </rPr>
      <t>其实是一个减值，比如真空度</t>
    </r>
    <r>
      <rPr>
        <sz val="11"/>
        <color theme="1"/>
        <rFont val="Tahoma"/>
        <charset val="134"/>
      </rPr>
      <t>88kPa</t>
    </r>
    <r>
      <rPr>
        <sz val="11"/>
        <color theme="1"/>
        <rFont val="宋体"/>
        <charset val="134"/>
      </rPr>
      <t>表示绝对气压为</t>
    </r>
    <r>
      <rPr>
        <sz val="11"/>
        <color theme="1"/>
        <rFont val="Tahoma"/>
        <charset val="134"/>
      </rPr>
      <t>(101-88)kPa</t>
    </r>
    <r>
      <rPr>
        <sz val="11"/>
        <color theme="1"/>
        <rFont val="宋体"/>
        <charset val="134"/>
      </rPr>
      <t>，为计算与表达方便，常直接当做正值。普通真空发生器最大真空度为</t>
    </r>
    <r>
      <rPr>
        <sz val="11"/>
        <color rgb="FFFF0000"/>
        <rFont val="Tahoma"/>
        <charset val="134"/>
      </rPr>
      <t>88kPa</t>
    </r>
    <r>
      <rPr>
        <sz val="11"/>
        <color theme="1"/>
        <rFont val="宋体"/>
        <charset val="134"/>
      </rPr>
      <t>，另一种制造空方法——真空泵可达</t>
    </r>
    <r>
      <rPr>
        <sz val="11"/>
        <color theme="1"/>
        <rFont val="Tahoma"/>
        <charset val="134"/>
      </rPr>
      <t>101kPa(</t>
    </r>
    <r>
      <rPr>
        <sz val="11"/>
        <color theme="1"/>
        <rFont val="宋体"/>
        <charset val="134"/>
      </rPr>
      <t>即绝对真空</t>
    </r>
    <r>
      <rPr>
        <sz val="11"/>
        <color theme="1"/>
        <rFont val="Tahoma"/>
        <charset val="134"/>
      </rPr>
      <t>)</t>
    </r>
    <r>
      <rPr>
        <sz val="11"/>
        <color theme="1"/>
        <rFont val="宋体"/>
        <charset val="134"/>
      </rPr>
      <t>，但是需购置真空泵及相关配件，成本高、结构复杂、只适合连续大流量工作。</t>
    </r>
    <r>
      <rPr>
        <sz val="11"/>
        <color theme="1"/>
        <rFont val="Tahoma"/>
        <charset val="134"/>
      </rPr>
      <t xml:space="preserve">
    2</t>
    </r>
    <r>
      <rPr>
        <sz val="11"/>
        <color theme="1"/>
        <rFont val="宋体"/>
        <charset val="134"/>
      </rPr>
      <t>，吸盘内的真空度</t>
    </r>
    <r>
      <rPr>
        <sz val="11"/>
        <color theme="1"/>
        <rFont val="Tahoma"/>
        <charset val="134"/>
      </rPr>
      <t>P</t>
    </r>
    <r>
      <rPr>
        <sz val="11"/>
        <color theme="1"/>
        <rFont val="宋体"/>
        <charset val="134"/>
      </rPr>
      <t>在最大真空度</t>
    </r>
    <r>
      <rPr>
        <sz val="11"/>
        <color theme="1"/>
        <rFont val="Tahoma"/>
        <charset val="134"/>
      </rPr>
      <t>Pv=88kPa</t>
    </r>
    <r>
      <rPr>
        <sz val="11"/>
        <color theme="1"/>
        <rFont val="宋体"/>
        <charset val="134"/>
      </rPr>
      <t>的</t>
    </r>
    <r>
      <rPr>
        <sz val="11"/>
        <color theme="1"/>
        <rFont val="Tahoma"/>
        <charset val="134"/>
      </rPr>
      <t>63%~95%</t>
    </r>
    <r>
      <rPr>
        <sz val="11"/>
        <color theme="1"/>
        <rFont val="宋体"/>
        <charset val="134"/>
      </rPr>
      <t xml:space="preserve">内选择，即保证吸附力，又不致使吸附相应时间过长；
</t>
    </r>
    <r>
      <rPr>
        <sz val="11"/>
        <color theme="1"/>
        <rFont val="Tahoma"/>
        <charset val="134"/>
      </rPr>
      <t xml:space="preserve">    3</t>
    </r>
    <r>
      <rPr>
        <sz val="11"/>
        <color theme="1"/>
        <rFont val="宋体"/>
        <charset val="134"/>
      </rPr>
      <t>，真空度安全系数</t>
    </r>
    <r>
      <rPr>
        <sz val="11"/>
        <color theme="1"/>
        <rFont val="Tahoma"/>
        <charset val="134"/>
      </rPr>
      <t>a</t>
    </r>
    <r>
      <rPr>
        <sz val="11"/>
        <color theme="1"/>
        <rFont val="宋体"/>
        <charset val="134"/>
      </rPr>
      <t>含义：保证真空度达到在</t>
    </r>
    <r>
      <rPr>
        <sz val="11"/>
        <color theme="1"/>
        <rFont val="Tahoma"/>
        <charset val="134"/>
      </rPr>
      <t>P0*a</t>
    </r>
    <r>
      <rPr>
        <sz val="11"/>
        <color theme="1"/>
        <rFont val="宋体"/>
        <charset val="134"/>
      </rPr>
      <t>时就可以把负载吸附住</t>
    </r>
    <r>
      <rPr>
        <sz val="11"/>
        <color theme="1"/>
        <rFont val="Tahoma"/>
        <charset val="134"/>
      </rPr>
      <t>,</t>
    </r>
    <r>
      <rPr>
        <sz val="11"/>
        <color theme="1"/>
        <rFont val="宋体"/>
        <charset val="134"/>
      </rPr>
      <t>比如要求真空度</t>
    </r>
    <r>
      <rPr>
        <sz val="11"/>
        <color theme="1"/>
        <rFont val="Tahoma"/>
        <charset val="134"/>
      </rPr>
      <t>P0=80kPa</t>
    </r>
    <r>
      <rPr>
        <sz val="11"/>
        <color theme="1"/>
        <rFont val="宋体"/>
        <charset val="134"/>
      </rPr>
      <t>，安全系数</t>
    </r>
    <r>
      <rPr>
        <sz val="11"/>
        <color theme="1"/>
        <rFont val="Tahoma"/>
        <charset val="134"/>
      </rPr>
      <t>a=0.8</t>
    </r>
    <r>
      <rPr>
        <sz val="11"/>
        <color theme="1"/>
        <rFont val="宋体"/>
        <charset val="134"/>
      </rPr>
      <t>，即要求系统在实际真空度达到</t>
    </r>
    <r>
      <rPr>
        <sz val="11"/>
        <color theme="1"/>
        <rFont val="Tahoma"/>
        <charset val="134"/>
      </rPr>
      <t>80*0.9=72kPa</t>
    </r>
    <r>
      <rPr>
        <sz val="11"/>
        <color theme="1"/>
        <rFont val="宋体"/>
        <charset val="134"/>
      </rPr>
      <t>时就可以吸附住负载物体。</t>
    </r>
  </si>
  <si>
    <r>
      <rPr>
        <sz val="12"/>
        <color theme="1"/>
        <rFont val="宋体"/>
        <charset val="134"/>
      </rPr>
      <t>文档信息
编写：煜宸
参考：《真空吸盘直径计算》</t>
    </r>
    <r>
      <rPr>
        <sz val="12"/>
        <color theme="1"/>
        <rFont val="Tahoma"/>
        <charset val="134"/>
      </rPr>
      <t>——(</t>
    </r>
    <r>
      <rPr>
        <sz val="12"/>
        <color theme="1"/>
        <rFont val="宋体"/>
        <charset val="134"/>
      </rPr>
      <t>前桥教育</t>
    </r>
    <r>
      <rPr>
        <sz val="12"/>
        <color theme="1"/>
        <rFont val="Tahoma"/>
        <charset val="134"/>
      </rPr>
      <t xml:space="preserve">) </t>
    </r>
    <r>
      <rPr>
        <sz val="12"/>
        <color theme="1"/>
        <rFont val="宋体"/>
        <charset val="134"/>
      </rPr>
      <t xml:space="preserve">宣言
</t>
    </r>
    <r>
      <rPr>
        <sz val="12"/>
        <color theme="1"/>
        <rFont val="Tahoma"/>
        <charset val="134"/>
      </rPr>
      <t xml:space="preserve">          </t>
    </r>
    <r>
      <rPr>
        <sz val="12"/>
        <color theme="1"/>
        <rFont val="宋体"/>
        <charset val="134"/>
      </rPr>
      <t>《真空发生器选型》</t>
    </r>
    <r>
      <rPr>
        <sz val="12"/>
        <color theme="1"/>
        <rFont val="Tahoma"/>
        <charset val="134"/>
      </rPr>
      <t>——(</t>
    </r>
    <r>
      <rPr>
        <sz val="12"/>
        <color theme="1"/>
        <rFont val="宋体"/>
        <charset val="134"/>
      </rPr>
      <t>前桥教育</t>
    </r>
    <r>
      <rPr>
        <sz val="12"/>
        <color theme="1"/>
        <rFont val="Tahoma"/>
        <charset val="134"/>
      </rPr>
      <t xml:space="preserve">) </t>
    </r>
    <r>
      <rPr>
        <sz val="12"/>
        <color theme="1"/>
        <rFont val="宋体"/>
        <charset val="134"/>
      </rPr>
      <t>宣言</t>
    </r>
    <r>
      <rPr>
        <sz val="12"/>
        <color theme="1"/>
        <rFont val="Tahoma"/>
        <charset val="134"/>
      </rPr>
      <t xml:space="preserve">                                                                                               
                                                                              2018.8.15   </t>
    </r>
  </si>
  <si>
    <t>油压缓冲器选型向导</t>
  </si>
  <si>
    <t>直线运动时</t>
  </si>
  <si>
    <t>图1 直线运动布局示意图</t>
  </si>
  <si>
    <r>
      <rPr>
        <sz val="11"/>
        <color theme="1"/>
        <rFont val="宋体"/>
        <charset val="134"/>
      </rPr>
      <t>图</t>
    </r>
    <r>
      <rPr>
        <sz val="11"/>
        <color theme="1"/>
        <rFont val="Tahoma"/>
        <charset val="134"/>
      </rPr>
      <t xml:space="preserve">2 </t>
    </r>
    <r>
      <rPr>
        <sz val="11"/>
        <color theme="1"/>
        <rFont val="宋体"/>
        <charset val="134"/>
      </rPr>
      <t>旋转或摇摆运动布局图</t>
    </r>
  </si>
  <si>
    <r>
      <rPr>
        <sz val="11"/>
        <color theme="1"/>
        <rFont val="宋体"/>
        <charset val="134"/>
      </rPr>
      <t>水平</t>
    </r>
    <r>
      <rPr>
        <sz val="11"/>
        <color theme="1"/>
        <rFont val="Tahoma"/>
        <charset val="134"/>
      </rPr>
      <t>0°,</t>
    </r>
    <r>
      <rPr>
        <sz val="11"/>
        <color theme="1"/>
        <rFont val="宋体"/>
        <charset val="134"/>
      </rPr>
      <t>垂直</t>
    </r>
    <r>
      <rPr>
        <sz val="11"/>
        <color theme="1"/>
        <rFont val="Tahoma"/>
        <charset val="134"/>
      </rPr>
      <t>90°,</t>
    </r>
    <r>
      <rPr>
        <sz val="11"/>
        <color theme="1"/>
        <rFont val="宋体"/>
        <charset val="134"/>
      </rPr>
      <t>上坡负值</t>
    </r>
  </si>
  <si>
    <t>气缸推力F(N)</t>
  </si>
  <si>
    <r>
      <rPr>
        <sz val="11"/>
        <color theme="1"/>
        <rFont val="宋体"/>
        <charset val="134"/>
      </rPr>
      <t>负载撞击速度</t>
    </r>
    <r>
      <rPr>
        <sz val="11"/>
        <color theme="1"/>
        <rFont val="Tahoma"/>
        <charset val="134"/>
      </rPr>
      <t>V(m/s)</t>
    </r>
  </si>
  <si>
    <t>即最大速度</t>
  </si>
  <si>
    <r>
      <rPr>
        <sz val="11"/>
        <color theme="1"/>
        <rFont val="宋体"/>
        <charset val="134"/>
      </rPr>
      <t>缓冲行程</t>
    </r>
    <r>
      <rPr>
        <sz val="11"/>
        <color theme="1"/>
        <rFont val="Tahoma"/>
        <charset val="134"/>
      </rPr>
      <t>L(mm)</t>
    </r>
  </si>
  <si>
    <t>4~10</t>
  </si>
  <si>
    <r>
      <rPr>
        <sz val="11"/>
        <color theme="1"/>
        <rFont val="宋体"/>
        <charset val="134"/>
      </rPr>
      <t>注意</t>
    </r>
    <r>
      <rPr>
        <sz val="11"/>
        <color theme="1"/>
        <rFont val="Tahoma"/>
        <charset val="134"/>
      </rPr>
      <t xml:space="preserve"> </t>
    </r>
    <r>
      <rPr>
        <sz val="11"/>
        <color theme="1"/>
        <rFont val="宋体"/>
        <charset val="134"/>
      </rPr>
      <t>如果是上坡缓冲，</t>
    </r>
    <r>
      <rPr>
        <sz val="11"/>
        <color theme="1"/>
        <rFont val="Tahoma"/>
        <charset val="134"/>
      </rPr>
      <t>θ</t>
    </r>
    <r>
      <rPr>
        <sz val="11"/>
        <color theme="1"/>
        <rFont val="宋体"/>
        <charset val="134"/>
      </rPr>
      <t>值前加负号</t>
    </r>
  </si>
  <si>
    <t>计算能量</t>
  </si>
  <si>
    <r>
      <rPr>
        <sz val="11"/>
        <color theme="1"/>
        <rFont val="宋体"/>
        <charset val="134"/>
      </rPr>
      <t>动能</t>
    </r>
    <r>
      <rPr>
        <sz val="11"/>
        <color theme="1"/>
        <rFont val="Tahoma"/>
        <charset val="134"/>
      </rPr>
      <t>E1(J)</t>
    </r>
  </si>
  <si>
    <t>E1=(1/2)mv²</t>
  </si>
  <si>
    <r>
      <rPr>
        <sz val="11"/>
        <color theme="1"/>
        <rFont val="宋体"/>
        <charset val="134"/>
      </rPr>
      <t>表</t>
    </r>
    <r>
      <rPr>
        <sz val="11"/>
        <color theme="1"/>
        <rFont val="Tahoma"/>
        <charset val="134"/>
      </rPr>
      <t xml:space="preserve">1 </t>
    </r>
    <r>
      <rPr>
        <sz val="11"/>
        <color theme="1"/>
        <rFont val="宋体"/>
        <charset val="134"/>
      </rPr>
      <t>某厂家样本</t>
    </r>
  </si>
  <si>
    <r>
      <rPr>
        <sz val="11"/>
        <color theme="1"/>
        <rFont val="宋体"/>
        <charset val="134"/>
      </rPr>
      <t>势能</t>
    </r>
    <r>
      <rPr>
        <sz val="11"/>
        <color theme="1"/>
        <rFont val="Tahoma"/>
        <charset val="134"/>
      </rPr>
      <t>E2(J)</t>
    </r>
  </si>
  <si>
    <t>E2=mgLsinθ</t>
  </si>
  <si>
    <r>
      <rPr>
        <sz val="11"/>
        <color theme="1"/>
        <rFont val="宋体"/>
        <charset val="134"/>
      </rPr>
      <t>驱动能</t>
    </r>
    <r>
      <rPr>
        <sz val="11"/>
        <color theme="1"/>
        <rFont val="Tahoma"/>
        <charset val="134"/>
      </rPr>
      <t>E3(J)</t>
    </r>
  </si>
  <si>
    <t>E3=FL</t>
  </si>
  <si>
    <r>
      <rPr>
        <sz val="11"/>
        <color theme="1"/>
        <rFont val="宋体"/>
        <charset val="134"/>
      </rPr>
      <t>总能量</t>
    </r>
    <r>
      <rPr>
        <sz val="11"/>
        <color theme="1"/>
        <rFont val="Tahoma"/>
        <charset val="134"/>
      </rPr>
      <t>E(J)</t>
    </r>
  </si>
  <si>
    <t>所需缓冲器吸收能量E0(J)</t>
  </si>
  <si>
    <t>选择缓冲器型号</t>
  </si>
  <si>
    <t>参考厂家样本</t>
  </si>
  <si>
    <t>旋转或摇摆运动时</t>
  </si>
  <si>
    <r>
      <rPr>
        <sz val="11"/>
        <color theme="1"/>
        <rFont val="宋体"/>
        <charset val="134"/>
      </rPr>
      <t>驱动转矩</t>
    </r>
    <r>
      <rPr>
        <sz val="11"/>
        <color theme="1"/>
        <rFont val="Tahoma"/>
        <charset val="134"/>
      </rPr>
      <t>T(N.m)</t>
    </r>
  </si>
  <si>
    <r>
      <rPr>
        <sz val="11"/>
        <color theme="1"/>
        <rFont val="宋体"/>
        <charset val="134"/>
      </rPr>
      <t>负载转动惯量</t>
    </r>
    <r>
      <rPr>
        <sz val="11"/>
        <color theme="1"/>
        <rFont val="Tahoma"/>
        <charset val="134"/>
      </rPr>
      <t>(kg.m</t>
    </r>
    <r>
      <rPr>
        <vertAlign val="superscript"/>
        <sz val="12"/>
        <color theme="1"/>
        <rFont val="Tahoma"/>
        <charset val="134"/>
      </rPr>
      <t>2</t>
    </r>
    <r>
      <rPr>
        <sz val="11"/>
        <color theme="1"/>
        <rFont val="Tahoma"/>
        <charset val="134"/>
      </rPr>
      <t>)</t>
    </r>
  </si>
  <si>
    <r>
      <rPr>
        <sz val="11"/>
        <color theme="1"/>
        <rFont val="宋体"/>
        <charset val="134"/>
      </rPr>
      <t>《惯量计算》或</t>
    </r>
    <r>
      <rPr>
        <sz val="11"/>
        <color theme="1"/>
        <rFont val="Tahoma"/>
        <charset val="134"/>
      </rPr>
      <t>SW</t>
    </r>
    <r>
      <rPr>
        <sz val="11"/>
        <color theme="1"/>
        <rFont val="宋体"/>
        <charset val="134"/>
      </rPr>
      <t>查询</t>
    </r>
  </si>
  <si>
    <r>
      <rPr>
        <sz val="11"/>
        <color theme="1"/>
        <rFont val="宋体"/>
        <charset val="134"/>
      </rPr>
      <t>转速</t>
    </r>
    <r>
      <rPr>
        <sz val="11"/>
        <color theme="1"/>
        <rFont val="Tahoma"/>
        <charset val="134"/>
      </rPr>
      <t>n(r/min)</t>
    </r>
  </si>
  <si>
    <r>
      <rPr>
        <sz val="11"/>
        <color theme="1"/>
        <rFont val="宋体"/>
        <charset val="134"/>
      </rPr>
      <t>角速度</t>
    </r>
    <r>
      <rPr>
        <sz val="11"/>
        <color theme="1"/>
        <rFont val="Tahoma"/>
        <charset val="134"/>
      </rPr>
      <t>w(rad/s)</t>
    </r>
  </si>
  <si>
    <r>
      <rPr>
        <sz val="11"/>
        <color theme="1"/>
        <rFont val="Tahoma"/>
        <charset val="134"/>
      </rPr>
      <t>w=2</t>
    </r>
    <r>
      <rPr>
        <sz val="11"/>
        <color theme="1"/>
        <rFont val="宋体"/>
        <charset val="134"/>
        <scheme val="minor"/>
      </rPr>
      <t>π</t>
    </r>
    <r>
      <rPr>
        <sz val="11"/>
        <color theme="1"/>
        <rFont val="Tahoma"/>
        <charset val="134"/>
      </rPr>
      <t>n/60</t>
    </r>
  </si>
  <si>
    <r>
      <rPr>
        <sz val="11"/>
        <color theme="1"/>
        <rFont val="宋体"/>
        <charset val="134"/>
      </rPr>
      <t>旋转半径</t>
    </r>
    <r>
      <rPr>
        <sz val="11"/>
        <color theme="1"/>
        <rFont val="Tahoma"/>
        <charset val="134"/>
      </rPr>
      <t>R(mm)</t>
    </r>
  </si>
  <si>
    <t>转轴到撞击点距离</t>
  </si>
  <si>
    <t>E1=(1/2)Jw²</t>
  </si>
  <si>
    <r>
      <rPr>
        <sz val="11"/>
        <color theme="1"/>
        <rFont val="宋体"/>
        <charset val="134"/>
      </rPr>
      <t>驱动能</t>
    </r>
    <r>
      <rPr>
        <sz val="11"/>
        <color theme="1"/>
        <rFont val="Tahoma"/>
        <charset val="134"/>
      </rPr>
      <t>E2(J)</t>
    </r>
  </si>
  <si>
    <t>E2=TL/R</t>
  </si>
  <si>
    <r>
      <rPr>
        <sz val="12"/>
        <color theme="1"/>
        <rFont val="宋体"/>
        <charset val="134"/>
      </rPr>
      <t>说明：</t>
    </r>
    <r>
      <rPr>
        <sz val="12"/>
        <color theme="1"/>
        <rFont val="Tahoma"/>
        <charset val="134"/>
      </rPr>
      <t xml:space="preserve"> 
      </t>
    </r>
    <r>
      <rPr>
        <sz val="12"/>
        <color theme="1"/>
        <rFont val="宋体"/>
        <charset val="134"/>
      </rPr>
      <t>油压缓冲器多用于气缸缓冲，主要计算缓冲吸收能量。</t>
    </r>
  </si>
  <si>
    <r>
      <rPr>
        <sz val="11"/>
        <color theme="1"/>
        <rFont val="宋体"/>
        <charset val="134"/>
      </rPr>
      <t xml:space="preserve">文档信息
编写：煜宸
参考：《油压缓冲器选型》
</t>
    </r>
    <r>
      <rPr>
        <sz val="11"/>
        <color theme="1"/>
        <rFont val="Tahoma"/>
        <charset val="134"/>
      </rPr>
      <t xml:space="preserve">                                                                                       2018.9.14</t>
    </r>
  </si>
  <si>
    <t>液压油缸选型向导</t>
  </si>
  <si>
    <t>表1 液压工作压力参考</t>
  </si>
  <si>
    <t>公称P系列</t>
  </si>
  <si>
    <t>0.63  10  1.6  2.5  4.0  6.3  10  16  25  31.5  40</t>
  </si>
  <si>
    <r>
      <rPr>
        <sz val="11"/>
        <color theme="1"/>
        <rFont val="宋体"/>
        <charset val="134"/>
      </rPr>
      <t>系统工作压力</t>
    </r>
    <r>
      <rPr>
        <sz val="11"/>
        <color theme="1"/>
        <rFont val="Tahoma"/>
        <charset val="134"/>
      </rPr>
      <t>P(MPa)</t>
    </r>
  </si>
  <si>
    <t>参考表1</t>
  </si>
  <si>
    <t>根据主机类型选择液压执行器的设计压力</t>
  </si>
  <si>
    <t>根据负载选择液压缸的设计压力</t>
  </si>
  <si>
    <r>
      <rPr>
        <sz val="11"/>
        <color theme="1"/>
        <rFont val="宋体"/>
        <charset val="134"/>
      </rPr>
      <t>负载所需力</t>
    </r>
    <r>
      <rPr>
        <sz val="11"/>
        <color theme="1"/>
        <rFont val="Tahoma"/>
        <charset val="134"/>
      </rPr>
      <t>F0(N)</t>
    </r>
  </si>
  <si>
    <t>应用领域</t>
  </si>
  <si>
    <t>常用设备</t>
  </si>
  <si>
    <t>设计压力</t>
  </si>
  <si>
    <t>机床类</t>
  </si>
  <si>
    <r>
      <rPr>
        <sz val="11"/>
        <color theme="1"/>
        <rFont val="宋体"/>
        <charset val="134"/>
      </rPr>
      <t>精加工机床</t>
    </r>
    <r>
      <rPr>
        <sz val="11"/>
        <color theme="1"/>
        <rFont val="Tahoma"/>
        <charset val="134"/>
      </rPr>
      <t>(</t>
    </r>
    <r>
      <rPr>
        <sz val="11"/>
        <color theme="1"/>
        <rFont val="宋体"/>
        <charset val="134"/>
      </rPr>
      <t>如各类磨床</t>
    </r>
    <r>
      <rPr>
        <sz val="11"/>
        <color theme="1"/>
        <rFont val="Tahoma"/>
        <charset val="134"/>
      </rPr>
      <t>)</t>
    </r>
  </si>
  <si>
    <t>0.8~2</t>
  </si>
  <si>
    <t>液压缸驱动负载形式</t>
  </si>
  <si>
    <t>拉力驱动</t>
  </si>
  <si>
    <r>
      <rPr>
        <sz val="11"/>
        <color theme="1"/>
        <rFont val="宋体"/>
        <charset val="134"/>
      </rPr>
      <t>半精加工机床</t>
    </r>
    <r>
      <rPr>
        <sz val="11"/>
        <color theme="1"/>
        <rFont val="Tahoma"/>
        <charset val="134"/>
      </rPr>
      <t>(</t>
    </r>
    <r>
      <rPr>
        <sz val="11"/>
        <color theme="1"/>
        <rFont val="宋体"/>
        <charset val="134"/>
      </rPr>
      <t>如组合机床</t>
    </r>
    <r>
      <rPr>
        <sz val="11"/>
        <color theme="1"/>
        <rFont val="Tahoma"/>
        <charset val="134"/>
      </rPr>
      <t>)</t>
    </r>
  </si>
  <si>
    <r>
      <rPr>
        <sz val="11"/>
        <color theme="1"/>
        <rFont val="Tahoma"/>
        <charset val="134"/>
      </rPr>
      <t>1</t>
    </r>
    <r>
      <rPr>
        <sz val="11"/>
        <color theme="1"/>
        <rFont val="宋体"/>
        <charset val="134"/>
      </rPr>
      <t>，缸径和杆径</t>
    </r>
  </si>
  <si>
    <r>
      <rPr>
        <sz val="11"/>
        <color theme="1"/>
        <rFont val="宋体"/>
        <charset val="134"/>
      </rPr>
      <t>理论推力最小缸径</t>
    </r>
    <r>
      <rPr>
        <sz val="11"/>
        <color theme="1"/>
        <rFont val="Tahoma"/>
        <charset val="134"/>
      </rPr>
      <t>D1(mm)</t>
    </r>
  </si>
  <si>
    <r>
      <rPr>
        <sz val="11"/>
        <color theme="1"/>
        <rFont val="Tahoma"/>
        <charset val="134"/>
      </rPr>
      <t>F0=P*</t>
    </r>
    <r>
      <rPr>
        <sz val="11"/>
        <color theme="1"/>
        <rFont val="宋体"/>
        <charset val="134"/>
        <scheme val="minor"/>
      </rPr>
      <t>π</t>
    </r>
    <r>
      <rPr>
        <sz val="11"/>
        <color theme="1"/>
        <rFont val="Tahoma"/>
        <charset val="134"/>
      </rPr>
      <t>(D1/2)²</t>
    </r>
  </si>
  <si>
    <t>龙门刨床</t>
  </si>
  <si>
    <t>2~8</t>
  </si>
  <si>
    <r>
      <rPr>
        <sz val="11"/>
        <color theme="1"/>
        <rFont val="宋体"/>
        <charset val="134"/>
      </rPr>
      <t>初设杆径</t>
    </r>
    <r>
      <rPr>
        <sz val="11"/>
        <color theme="1"/>
        <rFont val="Tahoma"/>
        <charset val="134"/>
      </rPr>
      <t>d0(mm)</t>
    </r>
  </si>
  <si>
    <t>拉床</t>
  </si>
  <si>
    <r>
      <rPr>
        <sz val="11"/>
        <color theme="1"/>
        <rFont val="宋体"/>
        <charset val="134"/>
      </rPr>
      <t>理论拉力最小缸径</t>
    </r>
    <r>
      <rPr>
        <sz val="11"/>
        <color theme="1"/>
        <rFont val="Tahoma"/>
        <charset val="134"/>
      </rPr>
      <t>D2(mm)</t>
    </r>
  </si>
  <si>
    <t>农业机械、小型工程机械、工程机械辅助机构</t>
  </si>
  <si>
    <r>
      <rPr>
        <sz val="11"/>
        <color theme="1"/>
        <rFont val="宋体"/>
        <charset val="134"/>
      </rPr>
      <t>驱动力安全系数</t>
    </r>
    <r>
      <rPr>
        <sz val="11"/>
        <color theme="1"/>
        <rFont val="Tahoma"/>
        <charset val="134"/>
      </rPr>
      <t>K</t>
    </r>
  </si>
  <si>
    <t>液压机、大中型挖掘机、中性机械、起重运输机械</t>
  </si>
  <si>
    <t>20~32</t>
  </si>
  <si>
    <r>
      <rPr>
        <sz val="11"/>
        <color theme="1"/>
        <rFont val="宋体"/>
        <charset val="134"/>
      </rPr>
      <t>所需最小缸径</t>
    </r>
    <r>
      <rPr>
        <sz val="11"/>
        <color theme="1"/>
        <rFont val="Tahoma"/>
        <charset val="134"/>
      </rPr>
      <t>D0(mm)</t>
    </r>
  </si>
  <si>
    <t>地质机械、冶金机械、铁路维护机械</t>
  </si>
  <si>
    <t>25~100</t>
  </si>
  <si>
    <r>
      <rPr>
        <sz val="11"/>
        <color theme="1"/>
        <rFont val="宋体"/>
        <charset val="134"/>
      </rPr>
      <t>选择厂家缸径</t>
    </r>
    <r>
      <rPr>
        <sz val="11"/>
        <color theme="1"/>
        <rFont val="Tahoma"/>
        <charset val="134"/>
      </rPr>
      <t>D(mm)</t>
    </r>
  </si>
  <si>
    <r>
      <rPr>
        <sz val="11"/>
        <color theme="1"/>
        <rFont val="宋体"/>
        <charset val="134"/>
      </rPr>
      <t>表</t>
    </r>
    <r>
      <rPr>
        <sz val="11"/>
        <color theme="1"/>
        <rFont val="Tahoma"/>
        <charset val="134"/>
      </rPr>
      <t>2</t>
    </r>
  </si>
  <si>
    <r>
      <rPr>
        <sz val="11"/>
        <color theme="1"/>
        <rFont val="宋体"/>
        <charset val="134"/>
      </rPr>
      <t>选择厂家杆径</t>
    </r>
    <r>
      <rPr>
        <sz val="11"/>
        <color theme="1"/>
        <rFont val="Tahoma"/>
        <charset val="134"/>
      </rPr>
      <t>d(mm)</t>
    </r>
  </si>
  <si>
    <r>
      <rPr>
        <sz val="11"/>
        <color theme="1"/>
        <rFont val="宋体"/>
        <charset val="134"/>
      </rPr>
      <t>表</t>
    </r>
    <r>
      <rPr>
        <sz val="11"/>
        <color theme="1"/>
        <rFont val="Tahoma"/>
        <charset val="134"/>
      </rPr>
      <t xml:space="preserve">2 </t>
    </r>
    <r>
      <rPr>
        <sz val="11"/>
        <color theme="1"/>
        <rFont val="宋体"/>
        <charset val="134"/>
      </rPr>
      <t>液压缸与活塞杆直径标准系列</t>
    </r>
    <r>
      <rPr>
        <sz val="11"/>
        <color theme="1"/>
        <rFont val="Tahoma"/>
        <charset val="134"/>
      </rPr>
      <t>(</t>
    </r>
    <r>
      <rPr>
        <sz val="11"/>
        <color theme="1"/>
        <rFont val="宋体"/>
        <charset val="134"/>
      </rPr>
      <t>括号内为不推荐系列</t>
    </r>
    <r>
      <rPr>
        <sz val="11"/>
        <color theme="1"/>
        <rFont val="Tahoma"/>
        <charset val="134"/>
      </rPr>
      <t>)</t>
    </r>
  </si>
  <si>
    <t>内径系列</t>
  </si>
  <si>
    <t>8  10  12  16  20  25  32  40  50  63  80  (90)  100  (110)   125  (140)  160  (180)  200  (220)  250  (280)  320  (360)  400  (450)  500</t>
  </si>
  <si>
    <r>
      <rPr>
        <sz val="11"/>
        <color theme="1"/>
        <rFont val="Tahoma"/>
        <charset val="134"/>
      </rPr>
      <t>2</t>
    </r>
    <r>
      <rPr>
        <sz val="11"/>
        <color theme="1"/>
        <rFont val="宋体"/>
        <charset val="134"/>
      </rPr>
      <t>，确定行程</t>
    </r>
    <r>
      <rPr>
        <sz val="11"/>
        <color theme="1"/>
        <rFont val="Tahoma"/>
        <charset val="134"/>
      </rPr>
      <t xml:space="preserve">, 
     </t>
    </r>
    <r>
      <rPr>
        <sz val="11"/>
        <color theme="1"/>
        <rFont val="宋体"/>
        <charset val="134"/>
      </rPr>
      <t>安装方式</t>
    </r>
  </si>
  <si>
    <t>活塞系列</t>
  </si>
  <si>
    <t>4  5  6  8  10  12  14  16  18  20  22  25  28  32  36  40  45  50  56  63  70  80  90  100  110  125  140  160  180  200  220  250  280  320  360</t>
  </si>
  <si>
    <t>附 力士乐液压缸尺寸与出力表</t>
  </si>
  <si>
    <t>安装方式(选填)</t>
  </si>
  <si>
    <t>法兰安装</t>
  </si>
  <si>
    <r>
      <rPr>
        <sz val="11"/>
        <color theme="1"/>
        <rFont val="Tahoma"/>
        <charset val="134"/>
      </rPr>
      <t>3</t>
    </r>
    <r>
      <rPr>
        <sz val="11"/>
        <color theme="1"/>
        <rFont val="宋体"/>
        <charset val="134"/>
      </rPr>
      <t>，缓冲</t>
    </r>
    <r>
      <rPr>
        <sz val="11"/>
        <color theme="1"/>
        <rFont val="Tahoma"/>
        <charset val="134"/>
      </rPr>
      <t xml:space="preserve">     </t>
    </r>
  </si>
  <si>
    <r>
      <rPr>
        <sz val="10"/>
        <color theme="1"/>
        <rFont val="宋体"/>
        <charset val="134"/>
      </rPr>
      <t>运行速度＞</t>
    </r>
    <r>
      <rPr>
        <sz val="10"/>
        <color theme="1"/>
        <rFont val="Tahoma"/>
        <charset val="134"/>
      </rPr>
      <t>100mm/s</t>
    </r>
    <r>
      <rPr>
        <sz val="10"/>
        <color theme="1"/>
        <rFont val="宋体"/>
        <charset val="134"/>
      </rPr>
      <t>应设缓冲</t>
    </r>
  </si>
  <si>
    <r>
      <rPr>
        <sz val="11"/>
        <color theme="1"/>
        <rFont val="宋体"/>
        <charset val="134"/>
      </rPr>
      <t>表</t>
    </r>
    <r>
      <rPr>
        <sz val="11"/>
        <color theme="1"/>
        <rFont val="Tahoma"/>
        <charset val="134"/>
      </rPr>
      <t xml:space="preserve">4 </t>
    </r>
    <r>
      <rPr>
        <sz val="11"/>
        <color theme="1"/>
        <rFont val="宋体"/>
        <charset val="134"/>
      </rPr>
      <t>安装方式确定原则</t>
    </r>
  </si>
  <si>
    <t>适合于液压缸工作过程中固定式安装，其作用力与支承中心处于同一轴线的工况；其安装方式选择位置有端、部、尾部</t>
  </si>
  <si>
    <t>铰支安装:
1,尾部单(双)耳环安装</t>
  </si>
  <si>
    <t>尾部单耳环安装适合于活塞杆端工作过程中沿同一运动平面呈曲线运动时</t>
  </si>
  <si>
    <t>铰支安装:
2,端部/中部/尾部耳轴安装</t>
  </si>
  <si>
    <t>中部固定耳轴安装，耳轴的位置可以布置成使缸体的重量平衡或在端部与尾部之间的任意位置以适应多种用途的需要。</t>
  </si>
  <si>
    <t>尾部耳轴安装与尾部双耳环安装工况相近，选择方法同上</t>
  </si>
  <si>
    <t>端部耳轴安装适合于比尾端或中部位置采用铰支点的缸更小杆径的液压缸</t>
  </si>
  <si>
    <t>脚架安装</t>
  </si>
  <si>
    <r>
      <rPr>
        <sz val="11"/>
        <color theme="1"/>
        <rFont val="宋体"/>
        <charset val="134"/>
      </rPr>
      <t>适合于液压缸工作过程中固定式安装，其安装平面与缸的中心轴线</t>
    </r>
    <r>
      <rPr>
        <b/>
        <sz val="11"/>
        <color rgb="FFFF0000"/>
        <rFont val="宋体"/>
        <charset val="134"/>
      </rPr>
      <t>不</t>
    </r>
    <r>
      <rPr>
        <sz val="11"/>
        <color theme="1"/>
        <rFont val="宋体"/>
        <charset val="134"/>
      </rPr>
      <t>处于同一平面的工况</t>
    </r>
  </si>
  <si>
    <r>
      <rPr>
        <sz val="11"/>
        <color theme="1"/>
        <rFont val="宋体"/>
        <charset val="134"/>
      </rPr>
      <t>表3</t>
    </r>
    <r>
      <rPr>
        <sz val="11"/>
        <color theme="1"/>
        <rFont val="Tahoma"/>
        <charset val="134"/>
      </rPr>
      <t xml:space="preserve"> </t>
    </r>
    <r>
      <rPr>
        <sz val="11"/>
        <color theme="1"/>
        <rFont val="宋体"/>
        <charset val="134"/>
      </rPr>
      <t>液压缸允许行程长度系列</t>
    </r>
  </si>
  <si>
    <r>
      <rPr>
        <sz val="12"/>
        <color theme="1"/>
        <rFont val="宋体"/>
        <charset val="134"/>
      </rPr>
      <t>说明：</t>
    </r>
    <r>
      <rPr>
        <sz val="12"/>
        <color theme="1"/>
        <rFont val="Tahoma"/>
        <charset val="134"/>
      </rPr>
      <t xml:space="preserve"> 
    1</t>
    </r>
    <r>
      <rPr>
        <sz val="12"/>
        <color theme="1"/>
        <rFont val="宋体"/>
        <charset val="134"/>
      </rPr>
      <t xml:space="preserve">，液压缸选型步骤如下方附图；
</t>
    </r>
    <r>
      <rPr>
        <sz val="12"/>
        <color theme="1"/>
        <rFont val="Tahoma"/>
        <charset val="134"/>
      </rPr>
      <t xml:space="preserve">    2</t>
    </r>
    <r>
      <rPr>
        <sz val="12"/>
        <color theme="1"/>
        <rFont val="宋体"/>
        <charset val="134"/>
      </rPr>
      <t xml:space="preserve">，行程确定原则：
</t>
    </r>
    <r>
      <rPr>
        <sz val="12"/>
        <color theme="1"/>
        <rFont val="Tahoma"/>
        <charset val="134"/>
      </rPr>
      <t xml:space="preserve">  </t>
    </r>
    <r>
      <rPr>
        <sz val="12"/>
        <color theme="1"/>
        <rFont val="宋体"/>
        <charset val="134"/>
      </rPr>
      <t>（</t>
    </r>
    <r>
      <rPr>
        <sz val="12"/>
        <color theme="1"/>
        <rFont val="Tahoma"/>
        <charset val="134"/>
      </rPr>
      <t>1</t>
    </r>
    <r>
      <rPr>
        <sz val="12"/>
        <color theme="1"/>
        <rFont val="宋体"/>
        <charset val="134"/>
      </rPr>
      <t>）行程</t>
    </r>
    <r>
      <rPr>
        <sz val="12"/>
        <color theme="1"/>
        <rFont val="Tahoma"/>
        <charset val="134"/>
      </rPr>
      <t>S=</t>
    </r>
    <r>
      <rPr>
        <sz val="12"/>
        <color theme="1"/>
        <rFont val="宋体"/>
        <charset val="134"/>
      </rPr>
      <t>实际最大工作行程</t>
    </r>
    <r>
      <rPr>
        <sz val="12"/>
        <color theme="1"/>
        <rFont val="Tahoma"/>
        <charset val="134"/>
      </rPr>
      <t>Smax+</t>
    </r>
    <r>
      <rPr>
        <sz val="12"/>
        <color theme="1"/>
        <rFont val="宋体"/>
        <charset val="134"/>
      </rPr>
      <t>行程富裕量△</t>
    </r>
    <r>
      <rPr>
        <sz val="12"/>
        <color theme="1"/>
        <rFont val="Tahoma"/>
        <charset val="134"/>
      </rPr>
      <t>S</t>
    </r>
    <r>
      <rPr>
        <sz val="12"/>
        <color theme="1"/>
        <rFont val="宋体"/>
        <charset val="134"/>
      </rPr>
      <t xml:space="preserve">；
</t>
    </r>
    <r>
      <rPr>
        <sz val="12"/>
        <color theme="1"/>
        <rFont val="Tahoma"/>
        <charset val="134"/>
      </rPr>
      <t xml:space="preserve">  </t>
    </r>
    <r>
      <rPr>
        <sz val="12"/>
        <color theme="1"/>
        <rFont val="宋体"/>
        <charset val="134"/>
      </rPr>
      <t>（</t>
    </r>
    <r>
      <rPr>
        <sz val="12"/>
        <color theme="1"/>
        <rFont val="Tahoma"/>
        <charset val="134"/>
      </rPr>
      <t>2</t>
    </r>
    <r>
      <rPr>
        <sz val="12"/>
        <color theme="1"/>
        <rFont val="宋体"/>
        <charset val="134"/>
      </rPr>
      <t>）行程富裕量△</t>
    </r>
    <r>
      <rPr>
        <sz val="12"/>
        <color theme="1"/>
        <rFont val="Tahoma"/>
        <charset val="134"/>
      </rPr>
      <t>S=</t>
    </r>
    <r>
      <rPr>
        <sz val="12"/>
        <color theme="1"/>
        <rFont val="宋体"/>
        <charset val="134"/>
      </rPr>
      <t>△</t>
    </r>
    <r>
      <rPr>
        <sz val="12"/>
        <color theme="1"/>
        <rFont val="Tahoma"/>
        <charset val="134"/>
      </rPr>
      <t>S1+</t>
    </r>
    <r>
      <rPr>
        <sz val="12"/>
        <color theme="1"/>
        <rFont val="宋体"/>
        <charset val="134"/>
      </rPr>
      <t>△</t>
    </r>
    <r>
      <rPr>
        <sz val="12"/>
        <color theme="1"/>
        <rFont val="Tahoma"/>
        <charset val="134"/>
      </rPr>
      <t>S2+</t>
    </r>
    <r>
      <rPr>
        <sz val="12"/>
        <color theme="1"/>
        <rFont val="宋体"/>
        <charset val="134"/>
      </rPr>
      <t>△</t>
    </r>
    <r>
      <rPr>
        <sz val="12"/>
        <color theme="1"/>
        <rFont val="Tahoma"/>
        <charset val="134"/>
      </rPr>
      <t>S3</t>
    </r>
    <r>
      <rPr>
        <sz val="12"/>
        <color theme="1"/>
        <rFont val="宋体"/>
        <charset val="134"/>
      </rPr>
      <t xml:space="preserve">。
</t>
    </r>
    <r>
      <rPr>
        <sz val="12"/>
        <color theme="1"/>
        <rFont val="Tahoma"/>
        <charset val="134"/>
      </rPr>
      <t xml:space="preserve">    </t>
    </r>
    <r>
      <rPr>
        <sz val="12"/>
        <color theme="1"/>
        <rFont val="宋体"/>
        <charset val="134"/>
      </rPr>
      <t>一般条件下应综合考虑：系统结构安装尺寸的制造误差需要的行程余量△</t>
    </r>
    <r>
      <rPr>
        <sz val="12"/>
        <color theme="1"/>
        <rFont val="Tahoma"/>
        <charset val="134"/>
      </rPr>
      <t>S1</t>
    </r>
    <r>
      <rPr>
        <sz val="12"/>
        <color theme="1"/>
        <rFont val="宋体"/>
        <charset val="134"/>
      </rPr>
      <t>、液压缸实际工作时在行程始点可能需要的行程余量△</t>
    </r>
    <r>
      <rPr>
        <sz val="12"/>
        <color theme="1"/>
        <rFont val="Tahoma"/>
        <charset val="134"/>
      </rPr>
      <t>S2</t>
    </r>
    <r>
      <rPr>
        <sz val="12"/>
        <color theme="1"/>
        <rFont val="宋体"/>
        <charset val="134"/>
      </rPr>
      <t>，终点可能需要的行程余量△</t>
    </r>
    <r>
      <rPr>
        <sz val="12"/>
        <color theme="1"/>
        <rFont val="Tahoma"/>
        <charset val="134"/>
      </rPr>
      <t>S3</t>
    </r>
    <r>
      <rPr>
        <sz val="12"/>
        <color theme="1"/>
        <rFont val="宋体"/>
        <charset val="134"/>
      </rPr>
      <t>（注意液压缸有缓冲功能要求时：行程富裕量△</t>
    </r>
    <r>
      <rPr>
        <sz val="12"/>
        <color theme="1"/>
        <rFont val="Tahoma"/>
        <charset val="134"/>
      </rPr>
      <t>S</t>
    </r>
    <r>
      <rPr>
        <sz val="12"/>
        <color theme="1"/>
        <rFont val="宋体"/>
        <charset val="134"/>
      </rPr>
      <t>的大小对缓冲功能将会产生直接的影响，建议尽可能减小行程富裕量△</t>
    </r>
    <r>
      <rPr>
        <sz val="12"/>
        <color theme="1"/>
        <rFont val="Tahoma"/>
        <charset val="134"/>
      </rPr>
      <t>S</t>
    </r>
    <r>
      <rPr>
        <sz val="12"/>
        <color theme="1"/>
        <rFont val="宋体"/>
        <charset val="134"/>
      </rPr>
      <t xml:space="preserve">）；
</t>
    </r>
    <r>
      <rPr>
        <sz val="12"/>
        <color theme="1"/>
        <rFont val="Tahoma"/>
        <charset val="134"/>
      </rPr>
      <t xml:space="preserve">  </t>
    </r>
    <r>
      <rPr>
        <sz val="12"/>
        <color theme="1"/>
        <rFont val="宋体"/>
        <charset val="134"/>
      </rPr>
      <t>（</t>
    </r>
    <r>
      <rPr>
        <sz val="12"/>
        <color theme="1"/>
        <rFont val="Tahoma"/>
        <charset val="134"/>
      </rPr>
      <t>3</t>
    </r>
    <r>
      <rPr>
        <sz val="12"/>
        <color theme="1"/>
        <rFont val="宋体"/>
        <charset val="134"/>
      </rPr>
      <t>）液压缸行程一般要选择厂家样本规定的标准行程。特殊设备情况可以定做。</t>
    </r>
    <r>
      <rPr>
        <sz val="12"/>
        <color theme="1"/>
        <rFont val="Tahoma"/>
        <charset val="134"/>
      </rPr>
      <t xml:space="preserve">
    2</t>
    </r>
    <r>
      <rPr>
        <sz val="12"/>
        <color theme="1"/>
        <rFont val="宋体"/>
        <charset val="134"/>
      </rPr>
      <t xml:space="preserve">，缓冲设置的原则为：
</t>
    </r>
    <r>
      <rPr>
        <sz val="12"/>
        <color theme="1"/>
        <rFont val="Tahoma"/>
        <charset val="134"/>
      </rPr>
      <t xml:space="preserve">     </t>
    </r>
    <r>
      <rPr>
        <sz val="12"/>
        <color theme="1"/>
        <rFont val="宋体"/>
        <charset val="134"/>
      </rPr>
      <t>液压缸活塞全行程运行，其往返动行速度大于</t>
    </r>
    <r>
      <rPr>
        <sz val="12"/>
        <color theme="1"/>
        <rFont val="Tahoma"/>
        <charset val="134"/>
      </rPr>
      <t>100mm/s</t>
    </r>
    <r>
      <rPr>
        <sz val="12"/>
        <color theme="1"/>
        <rFont val="宋体"/>
        <charset val="134"/>
      </rPr>
      <t xml:space="preserve">的应选择两端缓冲。
</t>
    </r>
    <r>
      <rPr>
        <sz val="12"/>
        <color theme="1"/>
        <rFont val="Tahoma"/>
        <charset val="134"/>
      </rPr>
      <t xml:space="preserve">     </t>
    </r>
    <r>
      <rPr>
        <sz val="12"/>
        <color theme="1"/>
        <rFont val="宋体"/>
        <charset val="134"/>
      </rPr>
      <t>液压缸活塞单向往</t>
    </r>
    <r>
      <rPr>
        <sz val="12"/>
        <color theme="1"/>
        <rFont val="Tahoma"/>
        <charset val="134"/>
      </rPr>
      <t>(</t>
    </r>
    <r>
      <rPr>
        <sz val="12"/>
        <color theme="1"/>
        <rFont val="宋体"/>
        <charset val="134"/>
      </rPr>
      <t>返</t>
    </r>
    <r>
      <rPr>
        <sz val="12"/>
        <color theme="1"/>
        <rFont val="Tahoma"/>
        <charset val="134"/>
      </rPr>
      <t>)</t>
    </r>
    <r>
      <rPr>
        <sz val="12"/>
        <color theme="1"/>
        <rFont val="宋体"/>
        <charset val="134"/>
      </rPr>
      <t>速度大于</t>
    </r>
    <r>
      <rPr>
        <sz val="12"/>
        <color theme="1"/>
        <rFont val="Tahoma"/>
        <charset val="134"/>
      </rPr>
      <t>100mm/s</t>
    </r>
    <r>
      <rPr>
        <sz val="12"/>
        <color theme="1"/>
        <rFont val="宋体"/>
        <charset val="134"/>
      </rPr>
      <t>且运行至行程端位的工况，应选择一端或两端缓冲。</t>
    </r>
  </si>
  <si>
    <t>附 力士乐液压缸行程表</t>
  </si>
  <si>
    <r>
      <rPr>
        <sz val="11"/>
        <color theme="1"/>
        <rFont val="宋体"/>
        <charset val="134"/>
      </rPr>
      <t>附图</t>
    </r>
    <r>
      <rPr>
        <sz val="11"/>
        <color theme="1"/>
        <rFont val="Tahoma"/>
        <charset val="134"/>
      </rPr>
      <t xml:space="preserve"> </t>
    </r>
    <r>
      <rPr>
        <sz val="11"/>
        <color theme="1"/>
        <rFont val="宋体"/>
        <charset val="134"/>
      </rPr>
      <t>液压缸选型步骤</t>
    </r>
  </si>
  <si>
    <r>
      <rPr>
        <sz val="11"/>
        <color theme="1"/>
        <rFont val="宋体"/>
        <charset val="134"/>
      </rPr>
      <t xml:space="preserve">文档信息
编写：煜宸
参考：《液压油缸选型计算》——浙江汉达机械
</t>
    </r>
    <r>
      <rPr>
        <sz val="11"/>
        <color theme="1"/>
        <rFont val="Tahoma"/>
        <charset val="134"/>
      </rPr>
      <t xml:space="preserve">         </t>
    </r>
    <r>
      <rPr>
        <sz val="11"/>
        <color theme="1"/>
        <rFont val="宋体"/>
        <charset val="134"/>
      </rPr>
      <t xml:space="preserve">《力士乐液压样本》
</t>
    </r>
    <r>
      <rPr>
        <sz val="11"/>
        <color theme="1"/>
        <rFont val="Tahoma"/>
        <charset val="134"/>
      </rPr>
      <t xml:space="preserve">                                                                                           2018.9.13</t>
    </r>
    <r>
      <rPr>
        <sz val="11"/>
        <color theme="1"/>
        <rFont val="宋体"/>
        <charset val="134"/>
      </rPr>
      <t xml:space="preserve">
</t>
    </r>
    <r>
      <rPr>
        <sz val="11"/>
        <color theme="1"/>
        <rFont val="Tahoma"/>
        <charset val="134"/>
      </rPr>
      <t xml:space="preserve">      </t>
    </r>
  </si>
  <si>
    <r>
      <rPr>
        <sz val="11"/>
        <color theme="1"/>
        <rFont val="宋体"/>
        <charset val="134"/>
      </rPr>
      <t>负载轴转矩</t>
    </r>
    <r>
      <rPr>
        <sz val="11"/>
        <color theme="1"/>
        <rFont val="Tahoma"/>
        <charset val="134"/>
      </rPr>
      <t>Tl(N.m)</t>
    </r>
  </si>
  <si>
    <r>
      <rPr>
        <sz val="11"/>
        <color theme="1"/>
        <rFont val="宋体"/>
        <charset val="134"/>
      </rPr>
      <t>负载转速</t>
    </r>
    <r>
      <rPr>
        <sz val="11"/>
        <color theme="1"/>
        <rFont val="Tahoma"/>
        <charset val="134"/>
      </rPr>
      <t>nl(r/min)</t>
    </r>
  </si>
  <si>
    <t>减速机减速比i</t>
  </si>
  <si>
    <r>
      <rPr>
        <sz val="11"/>
        <color theme="1"/>
        <rFont val="宋体"/>
        <charset val="134"/>
      </rPr>
      <t>无减速机填</t>
    </r>
    <r>
      <rPr>
        <sz val="11"/>
        <color theme="1"/>
        <rFont val="Tahoma"/>
        <charset val="134"/>
      </rPr>
      <t>1</t>
    </r>
  </si>
  <si>
    <r>
      <rPr>
        <sz val="11"/>
        <color theme="1"/>
        <rFont val="宋体"/>
        <charset val="134"/>
      </rPr>
      <t>减速机减速比</t>
    </r>
    <r>
      <rPr>
        <sz val="11"/>
        <color theme="1"/>
        <rFont val="Tahoma"/>
        <charset val="134"/>
      </rPr>
      <t>η0</t>
    </r>
  </si>
  <si>
    <r>
      <rPr>
        <sz val="11"/>
        <color theme="1"/>
        <rFont val="宋体"/>
        <charset val="134"/>
      </rPr>
      <t>液压马达机械效率</t>
    </r>
    <r>
      <rPr>
        <sz val="11"/>
        <color theme="1"/>
        <rFont val="Tahoma"/>
        <charset val="134"/>
      </rPr>
      <t>ηm</t>
    </r>
  </si>
  <si>
    <r>
      <rPr>
        <sz val="11"/>
        <color theme="1"/>
        <rFont val="宋体"/>
        <charset val="134"/>
      </rPr>
      <t>一般为</t>
    </r>
    <r>
      <rPr>
        <sz val="11"/>
        <color theme="1"/>
        <rFont val="Tahoma"/>
        <charset val="134"/>
      </rPr>
      <t>0.95</t>
    </r>
  </si>
  <si>
    <r>
      <rPr>
        <sz val="11"/>
        <color theme="1"/>
        <rFont val="宋体"/>
        <charset val="134"/>
      </rPr>
      <t>液压马达容积效率</t>
    </r>
    <r>
      <rPr>
        <sz val="11"/>
        <color theme="1"/>
        <rFont val="Tahoma"/>
        <charset val="134"/>
      </rPr>
      <t>ηv</t>
    </r>
  </si>
  <si>
    <r>
      <rPr>
        <sz val="11"/>
        <color theme="1"/>
        <rFont val="宋体"/>
        <charset val="134"/>
      </rPr>
      <t>一般为</t>
    </r>
    <r>
      <rPr>
        <sz val="11"/>
        <color theme="1"/>
        <rFont val="Tahoma"/>
        <charset val="134"/>
      </rPr>
      <t>0.9</t>
    </r>
  </si>
  <si>
    <r>
      <rPr>
        <sz val="11"/>
        <color theme="1"/>
        <rFont val="Tahoma"/>
        <charset val="134"/>
      </rPr>
      <t>1</t>
    </r>
    <r>
      <rPr>
        <sz val="11"/>
        <color theme="1"/>
        <rFont val="宋体"/>
        <charset val="134"/>
      </rPr>
      <t>，所需马达转矩</t>
    </r>
  </si>
  <si>
    <r>
      <rPr>
        <sz val="11"/>
        <color theme="1"/>
        <rFont val="宋体"/>
        <charset val="134"/>
      </rPr>
      <t>所需马达最小转矩</t>
    </r>
    <r>
      <rPr>
        <sz val="11"/>
        <color theme="1"/>
        <rFont val="Tahoma"/>
        <charset val="134"/>
      </rPr>
      <t>Tm(N.m)</t>
    </r>
  </si>
  <si>
    <t>Tm=Tl/(i*η0*ηm)</t>
  </si>
  <si>
    <r>
      <rPr>
        <sz val="11"/>
        <color theme="1"/>
        <rFont val="Tahoma"/>
        <charset val="134"/>
      </rPr>
      <t>2</t>
    </r>
    <r>
      <rPr>
        <sz val="11"/>
        <color theme="1"/>
        <rFont val="宋体"/>
        <charset val="134"/>
      </rPr>
      <t>，所需转速</t>
    </r>
  </si>
  <si>
    <r>
      <rPr>
        <sz val="11"/>
        <color theme="1"/>
        <rFont val="宋体"/>
        <charset val="134"/>
      </rPr>
      <t>所需马达转速</t>
    </r>
    <r>
      <rPr>
        <sz val="11"/>
        <color theme="1"/>
        <rFont val="Tahoma"/>
        <charset val="134"/>
      </rPr>
      <t>nm(r/min)</t>
    </r>
  </si>
  <si>
    <t>nm=nl*i</t>
  </si>
  <si>
    <r>
      <rPr>
        <sz val="11"/>
        <color theme="1"/>
        <rFont val="Tahoma"/>
        <charset val="134"/>
      </rPr>
      <t>3</t>
    </r>
    <r>
      <rPr>
        <sz val="11"/>
        <color theme="1"/>
        <rFont val="宋体"/>
        <charset val="134"/>
      </rPr>
      <t>，选择马达型号</t>
    </r>
  </si>
  <si>
    <r>
      <rPr>
        <sz val="11"/>
        <color theme="1"/>
        <rFont val="宋体"/>
        <charset val="134"/>
      </rPr>
      <t>需电机额定</t>
    </r>
    <r>
      <rPr>
        <sz val="11"/>
        <color theme="1"/>
        <rFont val="Tahoma"/>
        <charset val="134"/>
      </rPr>
      <t>T</t>
    </r>
    <r>
      <rPr>
        <sz val="11"/>
        <color theme="1"/>
        <rFont val="宋体"/>
        <charset val="134"/>
      </rPr>
      <t>≥</t>
    </r>
    <r>
      <rPr>
        <sz val="11"/>
        <color theme="1"/>
        <rFont val="Tahoma"/>
        <charset val="134"/>
      </rPr>
      <t>Tm ,n</t>
    </r>
    <r>
      <rPr>
        <sz val="11"/>
        <color theme="1"/>
        <rFont val="宋体"/>
        <charset val="134"/>
      </rPr>
      <t>≥</t>
    </r>
    <r>
      <rPr>
        <sz val="11"/>
        <color theme="1"/>
        <rFont val="Tahoma"/>
        <charset val="134"/>
      </rPr>
      <t>nm</t>
    </r>
  </si>
  <si>
    <t>1QJM11-0.40S</t>
  </si>
  <si>
    <t>查厂家样本</t>
  </si>
  <si>
    <r>
      <rPr>
        <sz val="11"/>
        <color theme="1"/>
        <rFont val="宋体"/>
        <charset val="134"/>
      </rPr>
      <t>电机额定转矩</t>
    </r>
    <r>
      <rPr>
        <sz val="11"/>
        <color theme="1"/>
        <rFont val="Tahoma"/>
        <charset val="134"/>
      </rPr>
      <t>T(N.m)</t>
    </r>
  </si>
  <si>
    <r>
      <rPr>
        <sz val="11"/>
        <color theme="1"/>
        <rFont val="宋体"/>
        <charset val="134"/>
      </rPr>
      <t>电机最大转速</t>
    </r>
    <r>
      <rPr>
        <sz val="11"/>
        <color theme="1"/>
        <rFont val="Tahoma"/>
        <charset val="134"/>
      </rPr>
      <t>n(r/min)</t>
    </r>
  </si>
  <si>
    <r>
      <rPr>
        <sz val="11"/>
        <color theme="1"/>
        <rFont val="宋体"/>
        <charset val="134"/>
      </rPr>
      <t>表</t>
    </r>
    <r>
      <rPr>
        <sz val="11"/>
        <color theme="1"/>
        <rFont val="Tahoma"/>
        <charset val="134"/>
      </rPr>
      <t xml:space="preserve">2 </t>
    </r>
    <r>
      <rPr>
        <sz val="11"/>
        <color theme="1"/>
        <rFont val="宋体"/>
        <charset val="134"/>
      </rPr>
      <t>中瑞马达样本截图</t>
    </r>
  </si>
  <si>
    <r>
      <rPr>
        <sz val="11"/>
        <color theme="1"/>
        <rFont val="宋体"/>
        <charset val="134"/>
      </rPr>
      <t>额定排量</t>
    </r>
    <r>
      <rPr>
        <sz val="11"/>
        <color theme="1"/>
        <rFont val="Tahoma"/>
        <charset val="134"/>
      </rPr>
      <t>qm(L/r)</t>
    </r>
  </si>
  <si>
    <t>样本未注时不填</t>
  </si>
  <si>
    <r>
      <rPr>
        <sz val="11"/>
        <color theme="1"/>
        <rFont val="宋体"/>
        <charset val="134"/>
      </rPr>
      <t>马达计算额定功率</t>
    </r>
    <r>
      <rPr>
        <sz val="11"/>
        <color theme="1"/>
        <rFont val="Tahoma"/>
        <charset val="134"/>
      </rPr>
      <t>P(KW)</t>
    </r>
  </si>
  <si>
    <r>
      <rPr>
        <sz val="11"/>
        <color theme="1"/>
        <rFont val="Tahoma"/>
        <charset val="134"/>
      </rPr>
      <t>P=2</t>
    </r>
    <r>
      <rPr>
        <sz val="11"/>
        <color theme="1"/>
        <rFont val="宋体"/>
        <charset val="134"/>
        <scheme val="minor"/>
      </rPr>
      <t>π</t>
    </r>
    <r>
      <rPr>
        <sz val="11"/>
        <color theme="1"/>
        <rFont val="Tahoma"/>
        <charset val="134"/>
      </rPr>
      <t>*T*n/60000</t>
    </r>
  </si>
  <si>
    <r>
      <rPr>
        <sz val="11"/>
        <color theme="1"/>
        <rFont val="Tahoma"/>
        <charset val="134"/>
      </rPr>
      <t>4</t>
    </r>
    <r>
      <rPr>
        <sz val="11"/>
        <color theme="1"/>
        <rFont val="宋体"/>
        <charset val="134"/>
      </rPr>
      <t>，计算马达流量</t>
    </r>
    <r>
      <rPr>
        <sz val="11"/>
        <color theme="1"/>
        <rFont val="Tahoma"/>
        <charset val="134"/>
      </rPr>
      <t>(</t>
    </r>
    <r>
      <rPr>
        <sz val="11"/>
        <color theme="1"/>
        <rFont val="宋体"/>
        <charset val="134"/>
      </rPr>
      <t>选做</t>
    </r>
    <r>
      <rPr>
        <sz val="11"/>
        <color theme="1"/>
        <rFont val="Tahoma"/>
        <charset val="134"/>
      </rPr>
      <t>)</t>
    </r>
  </si>
  <si>
    <r>
      <rPr>
        <sz val="11"/>
        <color theme="1"/>
        <rFont val="宋体"/>
        <charset val="134"/>
      </rPr>
      <t>马达进出口压力差△</t>
    </r>
    <r>
      <rPr>
        <sz val="11"/>
        <color theme="1"/>
        <rFont val="Tahoma"/>
        <charset val="134"/>
      </rPr>
      <t>P(MPa)</t>
    </r>
  </si>
  <si>
    <r>
      <rPr>
        <sz val="11"/>
        <color theme="1"/>
        <rFont val="宋体"/>
        <charset val="134"/>
      </rPr>
      <t>△</t>
    </r>
    <r>
      <rPr>
        <sz val="11"/>
        <color theme="1"/>
        <rFont val="Tahoma"/>
        <charset val="134"/>
      </rPr>
      <t>P</t>
    </r>
    <r>
      <rPr>
        <sz val="11"/>
        <color theme="1"/>
        <rFont val="宋体"/>
        <charset val="134"/>
      </rPr>
      <t>≈设计压力</t>
    </r>
    <r>
      <rPr>
        <sz val="11"/>
        <color theme="1"/>
        <rFont val="Tahoma"/>
        <charset val="134"/>
      </rPr>
      <t>P-0.2</t>
    </r>
  </si>
  <si>
    <r>
      <rPr>
        <sz val="11"/>
        <color theme="1"/>
        <rFont val="宋体"/>
        <charset val="134"/>
      </rPr>
      <t>马达计算排量</t>
    </r>
    <r>
      <rPr>
        <sz val="11"/>
        <color theme="1"/>
        <rFont val="Tahoma"/>
        <charset val="134"/>
      </rPr>
      <t>q(Ml/r</t>
    </r>
    <r>
      <rPr>
        <sz val="11"/>
        <color theme="1"/>
        <rFont val="宋体"/>
        <charset val="134"/>
      </rPr>
      <t>即</t>
    </r>
    <r>
      <rPr>
        <sz val="11"/>
        <color theme="1"/>
        <rFont val="Tahoma"/>
        <charset val="134"/>
      </rPr>
      <t>cm³/r)</t>
    </r>
  </si>
  <si>
    <r>
      <rPr>
        <sz val="11"/>
        <color theme="1"/>
        <rFont val="Tahoma"/>
        <charset val="134"/>
      </rPr>
      <t>2</t>
    </r>
    <r>
      <rPr>
        <sz val="11"/>
        <color theme="1"/>
        <rFont val="宋体"/>
        <charset val="134"/>
        <scheme val="minor"/>
      </rPr>
      <t>π</t>
    </r>
    <r>
      <rPr>
        <sz val="11"/>
        <color theme="1"/>
        <rFont val="Tahoma"/>
        <charset val="134"/>
      </rPr>
      <t>*T=q*</t>
    </r>
    <r>
      <rPr>
        <sz val="11"/>
        <color theme="1"/>
        <rFont val="宋体"/>
        <charset val="134"/>
      </rPr>
      <t>△</t>
    </r>
    <r>
      <rPr>
        <sz val="11"/>
        <color theme="1"/>
        <rFont val="Tahoma"/>
        <charset val="134"/>
      </rPr>
      <t>P*ηm</t>
    </r>
  </si>
  <si>
    <r>
      <rPr>
        <sz val="11"/>
        <color theme="1"/>
        <rFont val="宋体"/>
        <charset val="134"/>
      </rPr>
      <t>马达所需流量Q</t>
    </r>
    <r>
      <rPr>
        <sz val="11"/>
        <color theme="1"/>
        <rFont val="Tahoma"/>
        <charset val="134"/>
      </rPr>
      <t>(L/min)</t>
    </r>
  </si>
  <si>
    <t>Q=qm*n/ηv</t>
  </si>
  <si>
    <r>
      <rPr>
        <sz val="12"/>
        <color theme="1"/>
        <rFont val="宋体"/>
        <charset val="134"/>
      </rPr>
      <t>说明：</t>
    </r>
    <r>
      <rPr>
        <sz val="12"/>
        <color theme="1"/>
        <rFont val="Tahoma"/>
        <charset val="134"/>
      </rPr>
      <t xml:space="preserve"> 
    1</t>
    </r>
    <r>
      <rPr>
        <sz val="12"/>
        <color theme="1"/>
        <rFont val="宋体"/>
        <charset val="134"/>
      </rPr>
      <t>，液压马达可分为高速马达</t>
    </r>
    <r>
      <rPr>
        <sz val="12"/>
        <color theme="1"/>
        <rFont val="Tahoma"/>
        <charset val="134"/>
      </rPr>
      <t>(&gt;500rpm)</t>
    </r>
    <r>
      <rPr>
        <sz val="12"/>
        <color theme="1"/>
        <rFont val="宋体"/>
        <charset val="134"/>
      </rPr>
      <t>和低速马达</t>
    </r>
    <r>
      <rPr>
        <sz val="12"/>
        <color theme="1"/>
        <rFont val="Tahoma"/>
        <charset val="134"/>
      </rPr>
      <t>(&lt;500rpm)</t>
    </r>
    <r>
      <rPr>
        <sz val="12"/>
        <color theme="1"/>
        <rFont val="宋体"/>
        <charset val="134"/>
      </rPr>
      <t xml:space="preserve">。
</t>
    </r>
    <r>
      <rPr>
        <sz val="12"/>
        <color theme="1"/>
        <rFont val="Tahoma"/>
        <charset val="134"/>
      </rPr>
      <t xml:space="preserve">    </t>
    </r>
    <r>
      <rPr>
        <sz val="12"/>
        <color theme="1"/>
        <rFont val="宋体"/>
        <charset val="134"/>
      </rPr>
      <t xml:space="preserve">高速马达有：齿轮马达、叶片马达、螺杆马达、轴向柱塞马达，高速马达具有转动惯量小，便于起动、制动，输出扭矩不大。
</t>
    </r>
    <r>
      <rPr>
        <sz val="12"/>
        <color theme="1"/>
        <rFont val="Tahoma"/>
        <charset val="134"/>
      </rPr>
      <t xml:space="preserve">    </t>
    </r>
    <r>
      <rPr>
        <sz val="12"/>
        <color theme="1"/>
        <rFont val="宋体"/>
        <charset val="134"/>
      </rPr>
      <t xml:space="preserve">低速马达：径向柱塞马达。其特点是排量大，体积大，转速低，输出扭矩大称低速大扭矩马达。
</t>
    </r>
    <r>
      <rPr>
        <sz val="12"/>
        <color theme="1"/>
        <rFont val="Tahoma"/>
        <charset val="134"/>
      </rPr>
      <t xml:space="preserve">    2</t>
    </r>
    <r>
      <rPr>
        <sz val="12"/>
        <color theme="1"/>
        <rFont val="宋体"/>
        <charset val="134"/>
      </rPr>
      <t>，液压马达在额定负荷下，不出现爬行（抖动和时转时停）现象的最低转速</t>
    </r>
    <r>
      <rPr>
        <sz val="12"/>
        <color theme="1"/>
        <rFont val="Tahoma"/>
        <charset val="134"/>
      </rPr>
      <t>:</t>
    </r>
    <r>
      <rPr>
        <sz val="12"/>
        <color theme="1"/>
        <rFont val="宋体"/>
        <charset val="134"/>
      </rPr>
      <t xml:space="preserve">
多作用内曲线马达：</t>
    </r>
    <r>
      <rPr>
        <sz val="12"/>
        <color theme="1"/>
        <rFont val="Tahoma"/>
        <charset val="134"/>
      </rPr>
      <t>0.1</t>
    </r>
    <r>
      <rPr>
        <sz val="12"/>
        <color theme="1"/>
        <rFont val="宋体"/>
        <charset val="134"/>
      </rPr>
      <t>～</t>
    </r>
    <r>
      <rPr>
        <sz val="12"/>
        <color theme="1"/>
        <rFont val="Tahoma"/>
        <charset val="134"/>
      </rPr>
      <t xml:space="preserve">1rpm
</t>
    </r>
    <r>
      <rPr>
        <sz val="12"/>
        <color theme="1"/>
        <rFont val="宋体"/>
        <charset val="134"/>
      </rPr>
      <t>曲轴连杆马达：</t>
    </r>
    <r>
      <rPr>
        <sz val="12"/>
        <color theme="1"/>
        <rFont val="Tahoma"/>
        <charset val="134"/>
      </rPr>
      <t>2</t>
    </r>
    <r>
      <rPr>
        <sz val="12"/>
        <color theme="1"/>
        <rFont val="宋体"/>
        <charset val="134"/>
      </rPr>
      <t>～</t>
    </r>
    <r>
      <rPr>
        <sz val="12"/>
        <color theme="1"/>
        <rFont val="Tahoma"/>
        <charset val="134"/>
      </rPr>
      <t xml:space="preserve">3rpm
</t>
    </r>
    <r>
      <rPr>
        <sz val="12"/>
        <color theme="1"/>
        <rFont val="宋体"/>
        <charset val="134"/>
      </rPr>
      <t>静压平衡马达：</t>
    </r>
    <r>
      <rPr>
        <sz val="12"/>
        <color theme="1"/>
        <rFont val="Tahoma"/>
        <charset val="134"/>
      </rPr>
      <t>2</t>
    </r>
    <r>
      <rPr>
        <sz val="12"/>
        <color theme="1"/>
        <rFont val="宋体"/>
        <charset val="134"/>
      </rPr>
      <t>～</t>
    </r>
    <r>
      <rPr>
        <sz val="12"/>
        <color theme="1"/>
        <rFont val="Tahoma"/>
        <charset val="134"/>
      </rPr>
      <t xml:space="preserve">3rpm
</t>
    </r>
    <r>
      <rPr>
        <sz val="12"/>
        <color theme="1"/>
        <rFont val="宋体"/>
        <charset val="134"/>
      </rPr>
      <t>轴向柱塞马达：</t>
    </r>
    <r>
      <rPr>
        <sz val="12"/>
        <color theme="1"/>
        <rFont val="Tahoma"/>
        <charset val="134"/>
      </rPr>
      <t>30</t>
    </r>
    <r>
      <rPr>
        <sz val="12"/>
        <color theme="1"/>
        <rFont val="宋体"/>
        <charset val="134"/>
      </rPr>
      <t>～</t>
    </r>
    <r>
      <rPr>
        <sz val="12"/>
        <color theme="1"/>
        <rFont val="Tahoma"/>
        <charset val="134"/>
      </rPr>
      <t>50rpm</t>
    </r>
    <r>
      <rPr>
        <sz val="12"/>
        <color theme="1"/>
        <rFont val="宋体"/>
        <charset val="134"/>
      </rPr>
      <t>，有的可低至</t>
    </r>
    <r>
      <rPr>
        <sz val="12"/>
        <color theme="1"/>
        <rFont val="Tahoma"/>
        <charset val="134"/>
      </rPr>
      <t>2</t>
    </r>
    <r>
      <rPr>
        <sz val="12"/>
        <color theme="1"/>
        <rFont val="宋体"/>
        <charset val="134"/>
      </rPr>
      <t>～</t>
    </r>
    <r>
      <rPr>
        <sz val="12"/>
        <color theme="1"/>
        <rFont val="Tahoma"/>
        <charset val="134"/>
      </rPr>
      <t xml:space="preserve">5rpm
</t>
    </r>
    <r>
      <rPr>
        <sz val="12"/>
        <color theme="1"/>
        <rFont val="宋体"/>
        <charset val="134"/>
      </rPr>
      <t>高速叶片马达：</t>
    </r>
    <r>
      <rPr>
        <sz val="12"/>
        <color theme="1"/>
        <rFont val="Tahoma"/>
        <charset val="134"/>
      </rPr>
      <t>50</t>
    </r>
    <r>
      <rPr>
        <sz val="12"/>
        <color theme="1"/>
        <rFont val="宋体"/>
        <charset val="134"/>
      </rPr>
      <t>～</t>
    </r>
    <r>
      <rPr>
        <sz val="12"/>
        <color theme="1"/>
        <rFont val="Tahoma"/>
        <charset val="134"/>
      </rPr>
      <t xml:space="preserve">100rpm
</t>
    </r>
    <r>
      <rPr>
        <sz val="12"/>
        <color theme="1"/>
        <rFont val="宋体"/>
        <charset val="134"/>
      </rPr>
      <t>低速大扭矩叶片马达约为</t>
    </r>
    <r>
      <rPr>
        <sz val="12"/>
        <color theme="1"/>
        <rFont val="Tahoma"/>
        <charset val="134"/>
      </rPr>
      <t xml:space="preserve">5rpm
</t>
    </r>
    <r>
      <rPr>
        <sz val="12"/>
        <color theme="1"/>
        <rFont val="宋体"/>
        <charset val="134"/>
      </rPr>
      <t>齿轮马达的低速性能最差</t>
    </r>
    <r>
      <rPr>
        <sz val="12"/>
        <color theme="1"/>
        <rFont val="Tahoma"/>
        <charset val="134"/>
      </rPr>
      <t>,</t>
    </r>
    <r>
      <rPr>
        <sz val="12"/>
        <color theme="1"/>
        <rFont val="宋体"/>
        <charset val="134"/>
      </rPr>
      <t>其最低稳定转速一般</t>
    </r>
    <r>
      <rPr>
        <sz val="12"/>
        <color theme="1"/>
        <rFont val="Tahoma"/>
        <charset val="134"/>
      </rPr>
      <t>200</t>
    </r>
    <r>
      <rPr>
        <sz val="12"/>
        <color theme="1"/>
        <rFont val="宋体"/>
        <charset val="134"/>
      </rPr>
      <t>～</t>
    </r>
    <r>
      <rPr>
        <sz val="12"/>
        <color theme="1"/>
        <rFont val="Tahoma"/>
        <charset val="134"/>
      </rPr>
      <t>300rpm,</t>
    </r>
    <r>
      <rPr>
        <sz val="12"/>
        <color theme="1"/>
        <rFont val="宋体"/>
        <charset val="134"/>
      </rPr>
      <t>个别可到</t>
    </r>
    <r>
      <rPr>
        <sz val="12"/>
        <color theme="1"/>
        <rFont val="Tahoma"/>
        <charset val="134"/>
      </rPr>
      <t>50</t>
    </r>
    <r>
      <rPr>
        <sz val="12"/>
        <color theme="1"/>
        <rFont val="宋体"/>
        <charset val="134"/>
      </rPr>
      <t>～</t>
    </r>
    <r>
      <rPr>
        <sz val="12"/>
        <color theme="1"/>
        <rFont val="Tahoma"/>
        <charset val="134"/>
      </rPr>
      <t>100rpm
    3</t>
    </r>
    <r>
      <rPr>
        <sz val="12"/>
        <color theme="1"/>
        <rFont val="宋体"/>
        <charset val="134"/>
      </rPr>
      <t>，公式说明：</t>
    </r>
    <r>
      <rPr>
        <sz val="12"/>
        <color theme="1"/>
        <rFont val="Tahoma"/>
        <charset val="134"/>
      </rPr>
      <t>(</t>
    </r>
    <r>
      <rPr>
        <sz val="12"/>
        <color theme="1"/>
        <rFont val="宋体"/>
        <charset val="134"/>
      </rPr>
      <t>注意单位换算，标准单位为</t>
    </r>
    <r>
      <rPr>
        <sz val="12"/>
        <color theme="1"/>
        <rFont val="Tahoma"/>
        <charset val="134"/>
      </rPr>
      <t>pa</t>
    </r>
    <r>
      <rPr>
        <sz val="12"/>
        <color theme="1"/>
        <rFont val="宋体"/>
        <charset val="134"/>
      </rPr>
      <t>，</t>
    </r>
    <r>
      <rPr>
        <sz val="12"/>
        <color theme="1"/>
        <rFont val="Tahoma"/>
        <charset val="134"/>
      </rPr>
      <t>m³</t>
    </r>
    <r>
      <rPr>
        <sz val="12"/>
        <color theme="1"/>
        <rFont val="宋体"/>
        <charset val="134"/>
      </rPr>
      <t>，</t>
    </r>
    <r>
      <rPr>
        <sz val="12"/>
        <color theme="1"/>
        <rFont val="Tahoma"/>
        <charset val="134"/>
      </rPr>
      <t>r/s</t>
    </r>
    <r>
      <rPr>
        <sz val="12"/>
        <color theme="1"/>
        <rFont val="宋体"/>
        <charset val="134"/>
      </rPr>
      <t>，</t>
    </r>
    <r>
      <rPr>
        <sz val="12"/>
        <color theme="1"/>
        <rFont val="Tahoma"/>
        <charset val="134"/>
      </rPr>
      <t>N.m</t>
    </r>
    <r>
      <rPr>
        <sz val="12"/>
        <color theme="1"/>
        <rFont val="宋体"/>
        <charset val="134"/>
      </rPr>
      <t>，</t>
    </r>
    <r>
      <rPr>
        <sz val="12"/>
        <color theme="1"/>
        <rFont val="Tahoma"/>
        <charset val="134"/>
      </rPr>
      <t>w</t>
    </r>
    <r>
      <rPr>
        <sz val="12"/>
        <color theme="1"/>
        <rFont val="宋体"/>
        <charset val="134"/>
      </rPr>
      <t>；其中</t>
    </r>
    <r>
      <rPr>
        <sz val="12"/>
        <color theme="1"/>
        <rFont val="Tahoma"/>
        <charset val="134"/>
      </rPr>
      <t>Q</t>
    </r>
    <r>
      <rPr>
        <sz val="12"/>
        <color theme="1"/>
        <rFont val="宋体"/>
        <charset val="134"/>
      </rPr>
      <t>为流量，</t>
    </r>
    <r>
      <rPr>
        <sz val="12"/>
        <color theme="1"/>
        <rFont val="Tahoma"/>
        <charset val="134"/>
      </rPr>
      <t>q</t>
    </r>
    <r>
      <rPr>
        <sz val="12"/>
        <color theme="1"/>
        <rFont val="宋体"/>
        <charset val="134"/>
      </rPr>
      <t>为每转排量，△</t>
    </r>
    <r>
      <rPr>
        <sz val="12"/>
        <color theme="1"/>
        <rFont val="Tahoma"/>
        <charset val="134"/>
      </rPr>
      <t>P</t>
    </r>
    <r>
      <rPr>
        <sz val="12"/>
        <color theme="1"/>
        <rFont val="宋体"/>
        <charset val="134"/>
      </rPr>
      <t>进出口压差，</t>
    </r>
    <r>
      <rPr>
        <sz val="12"/>
        <color theme="1"/>
        <rFont val="Tahoma"/>
        <charset val="134"/>
      </rPr>
      <t>ηm</t>
    </r>
    <r>
      <rPr>
        <sz val="12"/>
        <color theme="1"/>
        <rFont val="宋体"/>
        <charset val="134"/>
      </rPr>
      <t>为机械效率，</t>
    </r>
    <r>
      <rPr>
        <sz val="12"/>
        <color theme="1"/>
        <rFont val="Tahoma"/>
        <charset val="134"/>
      </rPr>
      <t>ηv</t>
    </r>
    <r>
      <rPr>
        <sz val="12"/>
        <color theme="1"/>
        <rFont val="宋体"/>
        <charset val="134"/>
      </rPr>
      <t>为容积效率，</t>
    </r>
    <r>
      <rPr>
        <sz val="12"/>
        <color theme="1"/>
        <rFont val="Tahoma"/>
        <charset val="134"/>
      </rPr>
      <t xml:space="preserve">η=ηv*ηm)
</t>
    </r>
    <r>
      <rPr>
        <sz val="12"/>
        <color theme="1"/>
        <rFont val="宋体"/>
        <charset val="134"/>
      </rPr>
      <t xml:space="preserve">
理论马达转速：</t>
    </r>
    <r>
      <rPr>
        <sz val="12"/>
        <color theme="1"/>
        <rFont val="Tahoma"/>
        <charset val="134"/>
      </rPr>
      <t xml:space="preserve">                   </t>
    </r>
    <r>
      <rPr>
        <sz val="12"/>
        <color theme="1"/>
        <rFont val="宋体"/>
        <charset val="134"/>
      </rPr>
      <t>，实际转速：
理论输出扭矩：</t>
    </r>
    <r>
      <rPr>
        <sz val="12"/>
        <color theme="1"/>
        <rFont val="Tahoma"/>
        <charset val="134"/>
      </rPr>
      <t xml:space="preserve">                   </t>
    </r>
    <r>
      <rPr>
        <sz val="12"/>
        <color theme="1"/>
        <rFont val="宋体"/>
        <charset val="134"/>
      </rPr>
      <t>，实际扭矩：
理论输出功率：</t>
    </r>
    <r>
      <rPr>
        <sz val="12"/>
        <color theme="1"/>
        <rFont val="Tahoma"/>
        <charset val="134"/>
      </rPr>
      <t xml:space="preserve">                                     </t>
    </r>
    <r>
      <rPr>
        <sz val="12"/>
        <color theme="1"/>
        <rFont val="宋体"/>
        <charset val="134"/>
      </rPr>
      <t>，实际功率：
效率的含义：η</t>
    </r>
    <r>
      <rPr>
        <sz val="12"/>
        <color theme="1"/>
        <rFont val="Tahoma"/>
        <charset val="134"/>
      </rPr>
      <t>v=(</t>
    </r>
    <r>
      <rPr>
        <sz val="12"/>
        <color theme="1"/>
        <rFont val="宋体"/>
        <charset val="134"/>
      </rPr>
      <t>输入流量</t>
    </r>
    <r>
      <rPr>
        <sz val="12"/>
        <color theme="1"/>
        <rFont val="Tahoma"/>
        <charset val="134"/>
      </rPr>
      <t>Q-</t>
    </r>
    <r>
      <rPr>
        <sz val="12"/>
        <color theme="1"/>
        <rFont val="宋体"/>
        <charset val="134"/>
      </rPr>
      <t>泄露△</t>
    </r>
    <r>
      <rPr>
        <sz val="12"/>
        <color theme="1"/>
        <rFont val="Tahoma"/>
        <charset val="134"/>
      </rPr>
      <t>Q)/</t>
    </r>
    <r>
      <rPr>
        <sz val="12"/>
        <color theme="1"/>
        <rFont val="宋体"/>
        <charset val="134"/>
      </rPr>
      <t>输入流量</t>
    </r>
    <r>
      <rPr>
        <sz val="12"/>
        <color theme="1"/>
        <rFont val="Tahoma"/>
        <charset val="134"/>
      </rPr>
      <t>Q</t>
    </r>
    <r>
      <rPr>
        <sz val="12"/>
        <color theme="1"/>
        <rFont val="宋体"/>
        <charset val="134"/>
      </rPr>
      <t>，</t>
    </r>
    <r>
      <rPr>
        <sz val="12"/>
        <color theme="1"/>
        <rFont val="Tahoma"/>
        <charset val="134"/>
      </rPr>
      <t xml:space="preserve"> 
                   </t>
    </r>
    <r>
      <rPr>
        <sz val="12"/>
        <color theme="1"/>
        <rFont val="宋体"/>
        <charset val="134"/>
      </rPr>
      <t>η</t>
    </r>
    <r>
      <rPr>
        <sz val="12"/>
        <color theme="1"/>
        <rFont val="Tahoma"/>
        <charset val="134"/>
      </rPr>
      <t>m=(</t>
    </r>
    <r>
      <rPr>
        <sz val="12"/>
        <color theme="1"/>
        <rFont val="宋体"/>
        <charset val="134"/>
      </rPr>
      <t>输入扭矩</t>
    </r>
    <r>
      <rPr>
        <sz val="12"/>
        <color theme="1"/>
        <rFont val="Tahoma"/>
        <charset val="134"/>
      </rPr>
      <t>T-</t>
    </r>
    <r>
      <rPr>
        <sz val="12"/>
        <color theme="1"/>
        <rFont val="宋体"/>
        <charset val="134"/>
      </rPr>
      <t>摩擦损耗△</t>
    </r>
    <r>
      <rPr>
        <sz val="12"/>
        <color theme="1"/>
        <rFont val="Tahoma"/>
        <charset val="134"/>
      </rPr>
      <t>T</t>
    </r>
    <r>
      <rPr>
        <sz val="12"/>
        <color theme="1"/>
        <rFont val="宋体"/>
        <charset val="134"/>
      </rPr>
      <t>）</t>
    </r>
    <r>
      <rPr>
        <sz val="12"/>
        <color theme="1"/>
        <rFont val="Tahoma"/>
        <charset val="134"/>
      </rPr>
      <t>/</t>
    </r>
    <r>
      <rPr>
        <sz val="12"/>
        <color theme="1"/>
        <rFont val="宋体"/>
        <charset val="134"/>
      </rPr>
      <t>输入扭矩</t>
    </r>
    <r>
      <rPr>
        <sz val="12"/>
        <color theme="1"/>
        <rFont val="Tahoma"/>
        <charset val="134"/>
      </rPr>
      <t xml:space="preserve">T
</t>
    </r>
  </si>
  <si>
    <r>
      <rPr>
        <sz val="11"/>
        <color theme="1"/>
        <rFont val="宋体"/>
        <charset val="134"/>
      </rPr>
      <t>文档信息
编写：煜宸
参考：《液压马达选型计算》——</t>
    </r>
    <r>
      <rPr>
        <sz val="11"/>
        <color theme="1"/>
        <rFont val="Tahoma"/>
        <charset val="134"/>
      </rPr>
      <t>(</t>
    </r>
    <r>
      <rPr>
        <sz val="11"/>
        <color theme="1"/>
        <rFont val="宋体"/>
        <charset val="134"/>
      </rPr>
      <t>前桥教育</t>
    </r>
    <r>
      <rPr>
        <sz val="11"/>
        <color theme="1"/>
        <rFont val="Tahoma"/>
        <charset val="134"/>
      </rPr>
      <t>)</t>
    </r>
    <r>
      <rPr>
        <sz val="11"/>
        <color theme="1"/>
        <rFont val="宋体"/>
        <charset val="134"/>
      </rPr>
      <t xml:space="preserve">宣言
</t>
    </r>
    <r>
      <rPr>
        <sz val="11"/>
        <color theme="1"/>
        <rFont val="Tahoma"/>
        <charset val="134"/>
      </rPr>
      <t xml:space="preserve">         </t>
    </r>
    <r>
      <rPr>
        <sz val="11"/>
        <color theme="1"/>
        <rFont val="宋体"/>
        <charset val="134"/>
      </rPr>
      <t xml:space="preserve">《液压马达选型必备》
</t>
    </r>
    <r>
      <rPr>
        <sz val="11"/>
        <color theme="1"/>
        <rFont val="Tahoma"/>
        <charset val="134"/>
      </rPr>
      <t xml:space="preserve">                                                                                           2018.9.13</t>
    </r>
    <r>
      <rPr>
        <sz val="11"/>
        <color theme="1"/>
        <rFont val="宋体"/>
        <charset val="134"/>
      </rPr>
      <t xml:space="preserve">
</t>
    </r>
    <r>
      <rPr>
        <sz val="11"/>
        <color theme="1"/>
        <rFont val="Tahoma"/>
        <charset val="134"/>
      </rPr>
      <t xml:space="preserve">      </t>
    </r>
  </si>
  <si>
    <r>
      <rPr>
        <sz val="11"/>
        <color theme="1"/>
        <rFont val="宋体"/>
        <charset val="134"/>
      </rPr>
      <t>表</t>
    </r>
    <r>
      <rPr>
        <sz val="11"/>
        <color theme="1"/>
        <rFont val="Tahoma"/>
        <charset val="134"/>
      </rPr>
      <t xml:space="preserve">1 </t>
    </r>
    <r>
      <rPr>
        <sz val="11"/>
        <color theme="1"/>
        <rFont val="宋体"/>
        <charset val="134"/>
      </rPr>
      <t>单个液压缸与马达流量计算</t>
    </r>
    <r>
      <rPr>
        <sz val="11"/>
        <color theme="1"/>
        <rFont val="Tahoma"/>
        <charset val="134"/>
      </rPr>
      <t>(</t>
    </r>
    <r>
      <rPr>
        <sz val="11"/>
        <color theme="1"/>
        <rFont val="宋体"/>
        <charset val="134"/>
      </rPr>
      <t>容积效率按</t>
    </r>
    <r>
      <rPr>
        <sz val="11"/>
        <color theme="1"/>
        <rFont val="Tahoma"/>
        <charset val="134"/>
      </rPr>
      <t>ηv=0.95)</t>
    </r>
  </si>
  <si>
    <r>
      <rPr>
        <sz val="11"/>
        <color theme="1"/>
        <rFont val="宋体"/>
        <charset val="134"/>
      </rPr>
      <t>负载最大流量</t>
    </r>
    <r>
      <rPr>
        <sz val="11"/>
        <color theme="1"/>
        <rFont val="Tahoma"/>
        <charset val="134"/>
      </rPr>
      <t>Ql(L/min)</t>
    </r>
  </si>
  <si>
    <t>液压缸最大流量计算</t>
  </si>
  <si>
    <r>
      <rPr>
        <sz val="11"/>
        <color theme="1"/>
        <rFont val="宋体"/>
        <charset val="134"/>
      </rPr>
      <t>活塞最大速度</t>
    </r>
    <r>
      <rPr>
        <sz val="11"/>
        <color theme="1"/>
        <rFont val="Tahoma"/>
        <charset val="134"/>
      </rPr>
      <t>V(mm/s)</t>
    </r>
  </si>
  <si>
    <r>
      <rPr>
        <sz val="10.5"/>
        <color theme="1"/>
        <rFont val="宋体"/>
        <charset val="134"/>
      </rPr>
      <t>油缸工作面积</t>
    </r>
    <r>
      <rPr>
        <sz val="10.5"/>
        <color theme="1"/>
        <rFont val="Tahoma"/>
        <charset val="134"/>
      </rPr>
      <t>A(mm</t>
    </r>
    <r>
      <rPr>
        <vertAlign val="superscript"/>
        <sz val="12"/>
        <color theme="1"/>
        <rFont val="Tahoma"/>
        <charset val="134"/>
      </rPr>
      <t>2</t>
    </r>
    <r>
      <rPr>
        <sz val="10.5"/>
        <color theme="1"/>
        <rFont val="Tahoma"/>
        <charset val="134"/>
      </rPr>
      <t>)</t>
    </r>
  </si>
  <si>
    <r>
      <rPr>
        <sz val="11"/>
        <color theme="1"/>
        <rFont val="宋体"/>
        <charset val="134"/>
      </rPr>
      <t xml:space="preserve">最大流量
</t>
    </r>
    <r>
      <rPr>
        <sz val="11"/>
        <color theme="1"/>
        <rFont val="Tahoma"/>
        <charset val="134"/>
      </rPr>
      <t>Q(L/min)</t>
    </r>
  </si>
  <si>
    <r>
      <rPr>
        <sz val="11"/>
        <color theme="1"/>
        <rFont val="宋体"/>
        <charset val="134"/>
      </rPr>
      <t>负载工作压力</t>
    </r>
    <r>
      <rPr>
        <sz val="11"/>
        <color theme="1"/>
        <rFont val="Tahoma"/>
        <charset val="134"/>
      </rPr>
      <t>p(MPa)</t>
    </r>
  </si>
  <si>
    <r>
      <rPr>
        <sz val="11"/>
        <color theme="1"/>
        <rFont val="Tahoma"/>
        <charset val="134"/>
      </rPr>
      <t>1</t>
    </r>
    <r>
      <rPr>
        <sz val="11"/>
        <color theme="1"/>
        <rFont val="宋体"/>
        <charset val="134"/>
      </rPr>
      <t>，所需泵的流量</t>
    </r>
  </si>
  <si>
    <r>
      <rPr>
        <sz val="11"/>
        <color theme="1"/>
        <rFont val="宋体"/>
        <charset val="134"/>
      </rPr>
      <t>泄漏</t>
    </r>
    <r>
      <rPr>
        <sz val="11"/>
        <color theme="1"/>
        <rFont val="Tahoma"/>
        <charset val="134"/>
      </rPr>
      <t>(</t>
    </r>
    <r>
      <rPr>
        <sz val="11"/>
        <color theme="1"/>
        <rFont val="宋体"/>
        <charset val="134"/>
      </rPr>
      <t>安全</t>
    </r>
    <r>
      <rPr>
        <sz val="11"/>
        <color theme="1"/>
        <rFont val="Tahoma"/>
        <charset val="134"/>
      </rPr>
      <t>)</t>
    </r>
    <r>
      <rPr>
        <sz val="11"/>
        <color theme="1"/>
        <rFont val="宋体"/>
        <charset val="134"/>
      </rPr>
      <t>系数</t>
    </r>
    <r>
      <rPr>
        <sz val="11"/>
        <color theme="1"/>
        <rFont val="Tahoma"/>
        <charset val="134"/>
      </rPr>
      <t>Kq</t>
    </r>
  </si>
  <si>
    <r>
      <rPr>
        <sz val="11"/>
        <color theme="1"/>
        <rFont val="宋体"/>
        <charset val="134"/>
      </rPr>
      <t>所需油泵流量</t>
    </r>
    <r>
      <rPr>
        <sz val="11"/>
        <color theme="1"/>
        <rFont val="Tahoma"/>
        <charset val="134"/>
      </rPr>
      <t>Qm(L/min)</t>
    </r>
  </si>
  <si>
    <t>Qm=Kq*Ql</t>
  </si>
  <si>
    <t>液压马达最大流量计算</t>
  </si>
  <si>
    <r>
      <rPr>
        <sz val="11"/>
        <color theme="1"/>
        <rFont val="宋体"/>
        <charset val="134"/>
      </rPr>
      <t>马达最大转速n</t>
    </r>
    <r>
      <rPr>
        <sz val="11"/>
        <color theme="1"/>
        <rFont val="Tahoma"/>
        <charset val="134"/>
      </rPr>
      <t>(r/min)</t>
    </r>
  </si>
  <si>
    <r>
      <rPr>
        <sz val="10.5"/>
        <color theme="1"/>
        <rFont val="宋体"/>
        <charset val="134"/>
      </rPr>
      <t>马达排量</t>
    </r>
    <r>
      <rPr>
        <sz val="10.5"/>
        <color theme="1"/>
        <rFont val="Tahoma"/>
        <charset val="134"/>
      </rPr>
      <t>q(L/min)</t>
    </r>
  </si>
  <si>
    <r>
      <rPr>
        <sz val="11"/>
        <color theme="1"/>
        <rFont val="Tahoma"/>
        <charset val="134"/>
      </rPr>
      <t>2</t>
    </r>
    <r>
      <rPr>
        <sz val="11"/>
        <color theme="1"/>
        <rFont val="宋体"/>
        <charset val="134"/>
      </rPr>
      <t>，所需泵的压力</t>
    </r>
  </si>
  <si>
    <r>
      <rPr>
        <sz val="11"/>
        <color theme="1"/>
        <rFont val="宋体"/>
        <charset val="134"/>
      </rPr>
      <t>安全系数</t>
    </r>
    <r>
      <rPr>
        <sz val="11"/>
        <color theme="1"/>
        <rFont val="Tahoma"/>
        <charset val="134"/>
      </rPr>
      <t>Kp</t>
    </r>
  </si>
  <si>
    <t>1.1~1.5</t>
  </si>
  <si>
    <r>
      <rPr>
        <sz val="11"/>
        <color theme="1"/>
        <rFont val="宋体"/>
        <charset val="134"/>
      </rPr>
      <t>所需油泵工作压力</t>
    </r>
    <r>
      <rPr>
        <sz val="11"/>
        <color theme="1"/>
        <rFont val="Tahoma"/>
        <charset val="134"/>
      </rPr>
      <t>pm(MPa)</t>
    </r>
  </si>
  <si>
    <t>pm=Kp*p</t>
  </si>
  <si>
    <r>
      <rPr>
        <sz val="11"/>
        <color theme="1"/>
        <rFont val="Tahoma"/>
        <charset val="134"/>
      </rPr>
      <t>3</t>
    </r>
    <r>
      <rPr>
        <sz val="11"/>
        <color theme="1"/>
        <rFont val="宋体"/>
        <charset val="134"/>
      </rPr>
      <t>，驱动电机功率</t>
    </r>
  </si>
  <si>
    <r>
      <rPr>
        <sz val="11"/>
        <color theme="1"/>
        <rFont val="宋体"/>
        <charset val="134"/>
      </rPr>
      <t>泵的总效率</t>
    </r>
    <r>
      <rPr>
        <sz val="11"/>
        <color theme="1"/>
        <rFont val="Tahoma"/>
        <charset val="134"/>
      </rPr>
      <t>η</t>
    </r>
  </si>
  <si>
    <r>
      <rPr>
        <sz val="11"/>
        <color theme="1"/>
        <rFont val="宋体"/>
        <charset val="134"/>
      </rPr>
      <t>注意：多缸</t>
    </r>
    <r>
      <rPr>
        <sz val="11"/>
        <color theme="1"/>
        <rFont val="Tahoma"/>
        <charset val="134"/>
      </rPr>
      <t>/</t>
    </r>
    <r>
      <rPr>
        <sz val="11"/>
        <color theme="1"/>
        <rFont val="宋体"/>
        <charset val="134"/>
      </rPr>
      <t>马达同时运动时为各缸</t>
    </r>
    <r>
      <rPr>
        <sz val="11"/>
        <color theme="1"/>
        <rFont val="Tahoma"/>
        <charset val="134"/>
      </rPr>
      <t>/</t>
    </r>
    <r>
      <rPr>
        <sz val="11"/>
        <color theme="1"/>
        <rFont val="宋体"/>
        <charset val="134"/>
      </rPr>
      <t>马达流量之和</t>
    </r>
  </si>
  <si>
    <r>
      <rPr>
        <sz val="11"/>
        <color theme="1"/>
        <rFont val="宋体"/>
        <charset val="134"/>
      </rPr>
      <t>所需最小电机功率</t>
    </r>
    <r>
      <rPr>
        <sz val="11"/>
        <color theme="1"/>
        <rFont val="Tahoma"/>
        <charset val="134"/>
      </rPr>
      <t>P(KW)</t>
    </r>
  </si>
  <si>
    <t>P=pm*Qm/η</t>
  </si>
  <si>
    <r>
      <rPr>
        <sz val="11"/>
        <color theme="1"/>
        <rFont val="宋体"/>
        <charset val="134"/>
      </rPr>
      <t>表</t>
    </r>
    <r>
      <rPr>
        <sz val="11"/>
        <color theme="1"/>
        <rFont val="Tahoma"/>
        <charset val="134"/>
      </rPr>
      <t xml:space="preserve">2 </t>
    </r>
    <r>
      <rPr>
        <sz val="11"/>
        <color theme="1"/>
        <rFont val="宋体"/>
        <charset val="134"/>
      </rPr>
      <t>单个液压缸与马达工作压力计算</t>
    </r>
  </si>
  <si>
    <r>
      <rPr>
        <sz val="12"/>
        <color theme="1"/>
        <rFont val="宋体"/>
        <charset val="134"/>
      </rPr>
      <t>说明：</t>
    </r>
    <r>
      <rPr>
        <sz val="12"/>
        <color theme="1"/>
        <rFont val="Tahoma"/>
        <charset val="134"/>
      </rPr>
      <t xml:space="preserve"> 
     1</t>
    </r>
    <r>
      <rPr>
        <sz val="12"/>
        <color theme="1"/>
        <rFont val="宋体"/>
        <charset val="134"/>
      </rPr>
      <t>，常见液压泵：齿轮泵，叶片泵，轴向柱塞泵，径向柱塞泵，螺杆泵</t>
    </r>
    <r>
      <rPr>
        <sz val="12"/>
        <color theme="1"/>
        <rFont val="宋体"/>
        <charset val="134"/>
      </rPr>
      <t>见附表</t>
    </r>
    <r>
      <rPr>
        <sz val="12"/>
        <color theme="1"/>
        <rFont val="Tahoma"/>
        <charset val="134"/>
      </rPr>
      <t>1   
     2</t>
    </r>
    <r>
      <rPr>
        <sz val="12"/>
        <color theme="1"/>
        <rFont val="宋体"/>
        <charset val="134"/>
      </rPr>
      <t>，选择液压泵原则：
是否需要变量：径向柱塞泵、轴向柱塞泵、单作用叶片泵是变量泵；
工作压力：柱塞泵压力</t>
    </r>
    <r>
      <rPr>
        <sz val="12"/>
        <color theme="1"/>
        <rFont val="Tahoma"/>
        <charset val="134"/>
      </rPr>
      <t>31.5MPa</t>
    </r>
    <r>
      <rPr>
        <sz val="12"/>
        <color theme="1"/>
        <rFont val="宋体"/>
        <charset val="134"/>
      </rPr>
      <t>；叶片泵压力</t>
    </r>
    <r>
      <rPr>
        <sz val="12"/>
        <color theme="1"/>
        <rFont val="Tahoma"/>
        <charset val="134"/>
      </rPr>
      <t>6.3MPa</t>
    </r>
    <r>
      <rPr>
        <sz val="12"/>
        <color theme="1"/>
        <rFont val="宋体"/>
        <charset val="134"/>
      </rPr>
      <t>，高压化以后可以达到</t>
    </r>
    <r>
      <rPr>
        <sz val="12"/>
        <color theme="1"/>
        <rFont val="Tahoma"/>
        <charset val="134"/>
      </rPr>
      <t>6MPa</t>
    </r>
    <r>
      <rPr>
        <sz val="12"/>
        <color theme="1"/>
        <rFont val="宋体"/>
        <charset val="134"/>
      </rPr>
      <t>；</t>
    </r>
    <r>
      <rPr>
        <sz val="12"/>
        <color theme="1"/>
        <rFont val="Tahoma"/>
        <charset val="134"/>
      </rPr>
      <t xml:space="preserve">  
                </t>
    </r>
    <r>
      <rPr>
        <sz val="12"/>
        <color theme="1"/>
        <rFont val="宋体"/>
        <charset val="134"/>
      </rPr>
      <t>齿轮泵压力</t>
    </r>
    <r>
      <rPr>
        <sz val="12"/>
        <color theme="1"/>
        <rFont val="Tahoma"/>
        <charset val="134"/>
      </rPr>
      <t>2.5MPa</t>
    </r>
    <r>
      <rPr>
        <sz val="12"/>
        <color theme="1"/>
        <rFont val="宋体"/>
        <charset val="134"/>
      </rPr>
      <t>，高压化可达</t>
    </r>
    <r>
      <rPr>
        <sz val="12"/>
        <color theme="1"/>
        <rFont val="Tahoma"/>
        <charset val="134"/>
      </rPr>
      <t>21MPa</t>
    </r>
    <r>
      <rPr>
        <sz val="12"/>
        <color theme="1"/>
        <rFont val="宋体"/>
        <charset val="134"/>
      </rPr>
      <t xml:space="preserve">；
工作环境：齿轮泵的抗污能力最好；
噪声指标：低噪声泵有内啮合齿轮泵、双作用叶片泵和螺杆泵，双作用叶片泵和螺
</t>
    </r>
    <r>
      <rPr>
        <sz val="12"/>
        <color theme="1"/>
        <rFont val="Tahoma"/>
        <charset val="134"/>
      </rPr>
      <t xml:space="preserve">                </t>
    </r>
    <r>
      <rPr>
        <sz val="12"/>
        <color theme="1"/>
        <rFont val="宋体"/>
        <charset val="134"/>
      </rPr>
      <t xml:space="preserve">杆泵的瞬时流量均匀；
效率：轴向柱塞泵的总效率最高；同一结构的泵，排量大的泵总效率高；同一排量
</t>
    </r>
    <r>
      <rPr>
        <sz val="12"/>
        <color theme="1"/>
        <rFont val="Tahoma"/>
        <charset val="134"/>
      </rPr>
      <t xml:space="preserve">                </t>
    </r>
    <r>
      <rPr>
        <sz val="12"/>
        <color theme="1"/>
        <rFont val="宋体"/>
        <charset val="134"/>
      </rPr>
      <t xml:space="preserve">的泵在额定工况下总效率最高。
</t>
    </r>
    <r>
      <rPr>
        <sz val="12"/>
        <color theme="1"/>
        <rFont val="Tahoma"/>
        <charset val="134"/>
      </rPr>
      <t xml:space="preserve">     3</t>
    </r>
    <r>
      <rPr>
        <sz val="12"/>
        <color theme="1"/>
        <rFont val="宋体"/>
        <charset val="134"/>
      </rPr>
      <t xml:space="preserve">，变量泵遵从的是低压大流量，高压小流量的工作方式，从成本上来说，同流量的泵定量泵比变量泵便宜，变量泵相对定量泵来说驱动功率相对要小，从工作能耗上来说，如果使用不频繁的话，可以选择定量泵。
</t>
    </r>
    <r>
      <rPr>
        <sz val="12"/>
        <color theme="1"/>
        <rFont val="Tahoma"/>
        <charset val="134"/>
      </rPr>
      <t xml:space="preserve">     </t>
    </r>
    <r>
      <rPr>
        <sz val="12"/>
        <color theme="1"/>
        <rFont val="宋体"/>
        <charset val="134"/>
      </rPr>
      <t>定量泵没有调节流量的结构设计。如果需要调节流量，则另配变频器调节。</t>
    </r>
  </si>
  <si>
    <t>液压缸最大压力计算</t>
  </si>
  <si>
    <r>
      <rPr>
        <sz val="11"/>
        <color theme="1"/>
        <rFont val="宋体"/>
        <charset val="134"/>
      </rPr>
      <t>负载力</t>
    </r>
    <r>
      <rPr>
        <sz val="11"/>
        <color theme="1"/>
        <rFont val="Tahoma"/>
        <charset val="134"/>
      </rPr>
      <t>F(N)</t>
    </r>
  </si>
  <si>
    <r>
      <rPr>
        <sz val="11"/>
        <color theme="1"/>
        <rFont val="宋体"/>
        <charset val="134"/>
      </rPr>
      <t xml:space="preserve">机械效率
</t>
    </r>
    <r>
      <rPr>
        <sz val="11"/>
        <color theme="1"/>
        <rFont val="Tahoma"/>
        <charset val="134"/>
      </rPr>
      <t>ηm</t>
    </r>
  </si>
  <si>
    <r>
      <rPr>
        <sz val="11"/>
        <color theme="1"/>
        <rFont val="宋体"/>
        <charset val="134"/>
      </rPr>
      <t>所需工作压力p</t>
    </r>
    <r>
      <rPr>
        <sz val="11"/>
        <color theme="1"/>
        <rFont val="Tahoma"/>
        <charset val="134"/>
      </rPr>
      <t>(MPa)</t>
    </r>
  </si>
  <si>
    <t>p=F/A/ηm</t>
  </si>
  <si>
    <t>液压马达最大压力计算</t>
  </si>
  <si>
    <r>
      <rPr>
        <sz val="11"/>
        <color theme="1"/>
        <rFont val="宋体"/>
        <charset val="134"/>
      </rPr>
      <t>负载转矩</t>
    </r>
    <r>
      <rPr>
        <sz val="11"/>
        <color theme="1"/>
        <rFont val="Tahoma"/>
        <charset val="134"/>
      </rPr>
      <t>T(N.m)</t>
    </r>
  </si>
  <si>
    <t>所需工作压力p(MPa)</t>
  </si>
  <si>
    <r>
      <rPr>
        <sz val="11"/>
        <color theme="1"/>
        <rFont val="Tahoma"/>
        <charset val="134"/>
      </rPr>
      <t>2π*T=q*</t>
    </r>
    <r>
      <rPr>
        <sz val="11"/>
        <color theme="1"/>
        <rFont val="宋体"/>
        <charset val="134"/>
      </rPr>
      <t>△</t>
    </r>
    <r>
      <rPr>
        <sz val="11"/>
        <color theme="1"/>
        <rFont val="Tahoma"/>
        <charset val="134"/>
      </rPr>
      <t>p*ηm</t>
    </r>
  </si>
  <si>
    <r>
      <rPr>
        <sz val="11"/>
        <color theme="1"/>
        <rFont val="Tahoma"/>
        <charset val="134"/>
      </rPr>
      <t>p</t>
    </r>
    <r>
      <rPr>
        <sz val="11"/>
        <color theme="1"/>
        <rFont val="宋体"/>
        <charset val="134"/>
      </rPr>
      <t>≈△</t>
    </r>
    <r>
      <rPr>
        <sz val="11"/>
        <color theme="1"/>
        <rFont val="Tahoma"/>
        <charset val="134"/>
      </rPr>
      <t>p+0.2</t>
    </r>
  </si>
  <si>
    <r>
      <rPr>
        <sz val="11"/>
        <color theme="1"/>
        <rFont val="宋体"/>
        <charset val="134"/>
      </rPr>
      <t>注意：多缸</t>
    </r>
    <r>
      <rPr>
        <sz val="11"/>
        <color theme="1"/>
        <rFont val="Tahoma"/>
        <charset val="134"/>
      </rPr>
      <t>/</t>
    </r>
    <r>
      <rPr>
        <sz val="11"/>
        <color theme="1"/>
        <rFont val="宋体"/>
        <charset val="134"/>
      </rPr>
      <t>马达并联同时运动时</t>
    </r>
    <r>
      <rPr>
        <sz val="11"/>
        <color theme="1"/>
        <rFont val="Tahoma"/>
        <charset val="134"/>
      </rPr>
      <t>(</t>
    </r>
    <r>
      <rPr>
        <sz val="11"/>
        <color theme="1"/>
        <rFont val="宋体"/>
        <charset val="134"/>
      </rPr>
      <t>一般不串联</t>
    </r>
    <r>
      <rPr>
        <sz val="11"/>
        <color theme="1"/>
        <rFont val="Tahoma"/>
        <charset val="134"/>
      </rPr>
      <t>)</t>
    </r>
    <r>
      <rPr>
        <sz val="11"/>
        <color theme="1"/>
        <rFont val="宋体"/>
        <charset val="134"/>
      </rPr>
      <t>：工作压力</t>
    </r>
    <r>
      <rPr>
        <sz val="11"/>
        <color theme="1"/>
        <rFont val="Tahoma"/>
        <charset val="134"/>
      </rPr>
      <t>=</t>
    </r>
    <r>
      <rPr>
        <sz val="11"/>
        <color theme="1"/>
        <rFont val="宋体"/>
        <charset val="134"/>
      </rPr>
      <t>各缸</t>
    </r>
    <r>
      <rPr>
        <sz val="11"/>
        <color theme="1"/>
        <rFont val="Tahoma"/>
        <charset val="134"/>
      </rPr>
      <t>/</t>
    </r>
    <r>
      <rPr>
        <sz val="11"/>
        <color theme="1"/>
        <rFont val="宋体"/>
        <charset val="134"/>
      </rPr>
      <t>马达</t>
    </r>
    <r>
      <rPr>
        <sz val="11"/>
        <color theme="1"/>
        <rFont val="Tahoma"/>
        <charset val="134"/>
      </rPr>
      <t>p</t>
    </r>
    <r>
      <rPr>
        <sz val="11"/>
        <color theme="1"/>
        <rFont val="宋体"/>
        <charset val="134"/>
      </rPr>
      <t>之和</t>
    </r>
  </si>
  <si>
    <r>
      <rPr>
        <sz val="11"/>
        <color theme="1"/>
        <rFont val="宋体"/>
        <charset val="134"/>
      </rPr>
      <t>表3</t>
    </r>
    <r>
      <rPr>
        <sz val="11"/>
        <color theme="1"/>
        <rFont val="Tahoma"/>
        <charset val="134"/>
      </rPr>
      <t xml:space="preserve"> </t>
    </r>
    <r>
      <rPr>
        <sz val="11"/>
        <color theme="1"/>
        <rFont val="宋体"/>
        <charset val="134"/>
      </rPr>
      <t>各种泵的效率</t>
    </r>
  </si>
  <si>
    <t>齿轮泵</t>
  </si>
  <si>
    <t>叶片泵</t>
  </si>
  <si>
    <t>柱塞泵</t>
  </si>
  <si>
    <t>0.6~0.7</t>
  </si>
  <si>
    <t>0.6~0.75</t>
  </si>
  <si>
    <t>0.8~0.85</t>
  </si>
  <si>
    <r>
      <rPr>
        <sz val="11"/>
        <color theme="1"/>
        <rFont val="宋体"/>
        <charset val="134"/>
      </rPr>
      <t>附表</t>
    </r>
    <r>
      <rPr>
        <sz val="11"/>
        <color theme="1"/>
        <rFont val="Tahoma"/>
        <charset val="134"/>
      </rPr>
      <t xml:space="preserve">1 </t>
    </r>
    <r>
      <rPr>
        <sz val="11"/>
        <color theme="1"/>
        <rFont val="宋体"/>
        <charset val="134"/>
      </rPr>
      <t>常用液压泵与特点</t>
    </r>
  </si>
  <si>
    <t>液压泵</t>
  </si>
  <si>
    <t>图示</t>
  </si>
  <si>
    <r>
      <rPr>
        <b/>
        <sz val="11"/>
        <color rgb="FFFF0000"/>
        <rFont val="宋体"/>
        <charset val="134"/>
      </rPr>
      <t>优点</t>
    </r>
    <r>
      <rPr>
        <sz val="11"/>
        <color theme="1"/>
        <rFont val="宋体"/>
        <charset val="134"/>
      </rPr>
      <t xml:space="preserve">：结构简单，工作可靠，维护方便，价格低，自吸性强
</t>
    </r>
    <r>
      <rPr>
        <b/>
        <sz val="11"/>
        <color theme="3" tint="0.399945066682943"/>
        <rFont val="宋体"/>
        <charset val="134"/>
      </rPr>
      <t>缺点</t>
    </r>
    <r>
      <rPr>
        <sz val="11"/>
        <color theme="1"/>
        <rFont val="宋体"/>
        <charset val="134"/>
      </rPr>
      <t xml:space="preserve">：易产生振动和噪声，泄露大，容积效率低，径向液压力不平衡，流量不可调
</t>
    </r>
    <r>
      <rPr>
        <b/>
        <sz val="11"/>
        <color theme="1"/>
        <rFont val="宋体"/>
        <charset val="134"/>
      </rPr>
      <t>工作压力</t>
    </r>
    <r>
      <rPr>
        <sz val="11"/>
        <color theme="1"/>
        <rFont val="宋体"/>
        <charset val="134"/>
      </rPr>
      <t>：一般用于低压</t>
    </r>
  </si>
  <si>
    <r>
      <rPr>
        <b/>
        <sz val="11"/>
        <color rgb="FFFF0000"/>
        <rFont val="宋体"/>
        <charset val="134"/>
      </rPr>
      <t>优点</t>
    </r>
    <r>
      <rPr>
        <sz val="11"/>
        <color theme="1"/>
        <rFont val="宋体"/>
        <charset val="134"/>
      </rPr>
      <t xml:space="preserve">：输油量均匀，压力脉动小，容积效率高
</t>
    </r>
    <r>
      <rPr>
        <b/>
        <sz val="11"/>
        <color theme="3" tint="0.399945066682943"/>
        <rFont val="宋体"/>
        <charset val="134"/>
      </rPr>
      <t>缺点</t>
    </r>
    <r>
      <rPr>
        <sz val="11"/>
        <color theme="1"/>
        <rFont val="宋体"/>
        <charset val="134"/>
      </rPr>
      <t xml:space="preserve">：结构复杂，难以加工，叶片易被脏物卡死
</t>
    </r>
    <r>
      <rPr>
        <b/>
        <sz val="11"/>
        <color theme="1"/>
        <rFont val="宋体"/>
        <charset val="134"/>
      </rPr>
      <t>工作压力</t>
    </r>
    <r>
      <rPr>
        <sz val="11"/>
        <color theme="1"/>
        <rFont val="宋体"/>
        <charset val="134"/>
      </rPr>
      <t>：中压</t>
    </r>
  </si>
  <si>
    <r>
      <rPr>
        <b/>
        <sz val="11"/>
        <color rgb="FFFF0000"/>
        <rFont val="宋体"/>
        <charset val="134"/>
      </rPr>
      <t>优点</t>
    </r>
    <r>
      <rPr>
        <sz val="11"/>
        <color theme="1"/>
        <rFont val="宋体"/>
        <charset val="134"/>
      </rPr>
      <t xml:space="preserve">：结构紧凑，径向尺寸小，容积效率高
</t>
    </r>
    <r>
      <rPr>
        <b/>
        <sz val="11"/>
        <color theme="3" tint="0.399945066682943"/>
        <rFont val="宋体"/>
        <charset val="134"/>
      </rPr>
      <t>缺点</t>
    </r>
    <r>
      <rPr>
        <sz val="11"/>
        <color theme="1"/>
        <rFont val="宋体"/>
        <charset val="134"/>
      </rPr>
      <t xml:space="preserve">：结构复杂，价格较贵
</t>
    </r>
    <r>
      <rPr>
        <b/>
        <sz val="11"/>
        <color theme="1"/>
        <rFont val="宋体"/>
        <charset val="134"/>
      </rPr>
      <t>工作压力</t>
    </r>
    <r>
      <rPr>
        <sz val="11"/>
        <color theme="1"/>
        <rFont val="宋体"/>
        <charset val="134"/>
      </rPr>
      <t>：高压</t>
    </r>
  </si>
  <si>
    <t>螺杆泵</t>
  </si>
  <si>
    <r>
      <rPr>
        <b/>
        <sz val="11"/>
        <color rgb="FFFF0000"/>
        <rFont val="宋体"/>
        <charset val="134"/>
      </rPr>
      <t>优点</t>
    </r>
    <r>
      <rPr>
        <sz val="11"/>
        <color theme="1"/>
        <rFont val="宋体"/>
        <charset val="134"/>
      </rPr>
      <t xml:space="preserve">：结构简单，体积小，质量轻，运转平稳，噪声小，使用寿命长，自吸能力强，容积效率高
缺点：螺杆齿形复杂，不易加工，精度难以保证
</t>
    </r>
    <r>
      <rPr>
        <b/>
        <sz val="11"/>
        <color theme="1"/>
        <rFont val="宋体"/>
        <charset val="134"/>
      </rPr>
      <t>工作压力</t>
    </r>
    <r>
      <rPr>
        <sz val="11"/>
        <color theme="1"/>
        <rFont val="宋体"/>
        <charset val="134"/>
      </rPr>
      <t>：4~40MPa</t>
    </r>
  </si>
  <si>
    <r>
      <rPr>
        <sz val="11"/>
        <color theme="1"/>
        <rFont val="宋体"/>
        <charset val="134"/>
      </rPr>
      <t>附表</t>
    </r>
    <r>
      <rPr>
        <sz val="11"/>
        <color theme="1"/>
        <rFont val="Tahoma"/>
        <charset val="134"/>
      </rPr>
      <t xml:space="preserve">1 </t>
    </r>
    <r>
      <rPr>
        <sz val="11"/>
        <color theme="1"/>
        <rFont val="宋体"/>
        <charset val="134"/>
      </rPr>
      <t>常用液压泵应用场合</t>
    </r>
  </si>
  <si>
    <r>
      <rPr>
        <sz val="11"/>
        <color theme="1"/>
        <rFont val="宋体"/>
        <charset val="134"/>
      </rPr>
      <t>文档信息
编写：煜宸
参考：《液压泵马达选型计算》——</t>
    </r>
    <r>
      <rPr>
        <sz val="11"/>
        <color theme="1"/>
        <rFont val="Tahoma"/>
        <charset val="134"/>
      </rPr>
      <t>(</t>
    </r>
    <r>
      <rPr>
        <sz val="11"/>
        <color theme="1"/>
        <rFont val="宋体"/>
        <charset val="134"/>
      </rPr>
      <t>前桥教育</t>
    </r>
    <r>
      <rPr>
        <sz val="11"/>
        <color theme="1"/>
        <rFont val="Tahoma"/>
        <charset val="134"/>
      </rPr>
      <t>)</t>
    </r>
    <r>
      <rPr>
        <sz val="11"/>
        <color theme="1"/>
        <rFont val="宋体"/>
        <charset val="134"/>
      </rPr>
      <t xml:space="preserve">宣言
</t>
    </r>
    <r>
      <rPr>
        <sz val="11"/>
        <color theme="1"/>
        <rFont val="Tahoma"/>
        <charset val="134"/>
      </rPr>
      <t xml:space="preserve">         </t>
    </r>
    <r>
      <rPr>
        <sz val="11"/>
        <color theme="1"/>
        <rFont val="宋体"/>
        <charset val="134"/>
      </rPr>
      <t xml:space="preserve">
</t>
    </r>
    <r>
      <rPr>
        <sz val="11"/>
        <color theme="1"/>
        <rFont val="Tahoma"/>
        <charset val="134"/>
      </rPr>
      <t xml:space="preserve">                                                                                           2018.9.14</t>
    </r>
    <r>
      <rPr>
        <sz val="11"/>
        <color theme="1"/>
        <rFont val="宋体"/>
        <charset val="134"/>
      </rPr>
      <t xml:space="preserve">
</t>
    </r>
    <r>
      <rPr>
        <sz val="11"/>
        <color theme="1"/>
        <rFont val="Tahoma"/>
        <charset val="134"/>
      </rPr>
      <t xml:space="preserve">      </t>
    </r>
  </si>
  <si>
    <t>已知条件：滚动体类型、负载重量、支撑轴数量、设计寿命、行程等</t>
  </si>
  <si>
    <t>表1 负载条件系数fw</t>
  </si>
  <si>
    <t>负载条件</t>
  </si>
  <si>
    <t>v(m/min)</t>
  </si>
  <si>
    <t>fw</t>
  </si>
  <si>
    <t>滚动体类型</t>
  </si>
  <si>
    <t>滚珠</t>
  </si>
  <si>
    <t>无振动无冲击</t>
  </si>
  <si>
    <r>
      <rPr>
        <sz val="11"/>
        <color theme="1"/>
        <rFont val="宋体"/>
        <charset val="134"/>
      </rPr>
      <t>≤</t>
    </r>
    <r>
      <rPr>
        <sz val="11"/>
        <color theme="1"/>
        <rFont val="Tahoma"/>
        <charset val="134"/>
      </rPr>
      <t>15</t>
    </r>
  </si>
  <si>
    <t>1.0~1.5</t>
  </si>
  <si>
    <t>微小振动或冲击</t>
  </si>
  <si>
    <t>15~60</t>
  </si>
  <si>
    <t>1.5~2.0</t>
  </si>
  <si>
    <r>
      <rPr>
        <sz val="11"/>
        <color theme="1"/>
        <rFont val="宋体"/>
        <charset val="134"/>
      </rPr>
      <t>支撑轴</t>
    </r>
    <r>
      <rPr>
        <sz val="11"/>
        <color theme="1"/>
        <rFont val="Tahoma"/>
        <charset val="134"/>
      </rPr>
      <t>(</t>
    </r>
    <r>
      <rPr>
        <sz val="11"/>
        <color theme="1"/>
        <rFont val="宋体"/>
        <charset val="134"/>
      </rPr>
      <t>导轨</t>
    </r>
    <r>
      <rPr>
        <sz val="11"/>
        <color theme="1"/>
        <rFont val="Tahoma"/>
        <charset val="134"/>
      </rPr>
      <t>)</t>
    </r>
    <r>
      <rPr>
        <sz val="11"/>
        <color theme="1"/>
        <rFont val="宋体"/>
        <charset val="134"/>
      </rPr>
      <t>数量</t>
    </r>
    <r>
      <rPr>
        <sz val="11"/>
        <color theme="1"/>
        <rFont val="Tahoma"/>
        <charset val="134"/>
      </rPr>
      <t>n</t>
    </r>
  </si>
  <si>
    <t>强振动或冲击</t>
  </si>
  <si>
    <r>
      <rPr>
        <sz val="11"/>
        <color theme="1"/>
        <rFont val="宋体"/>
        <charset val="134"/>
      </rPr>
      <t>＞</t>
    </r>
    <r>
      <rPr>
        <sz val="11"/>
        <color theme="1"/>
        <rFont val="Tahoma"/>
        <charset val="134"/>
      </rPr>
      <t>60</t>
    </r>
  </si>
  <si>
    <t>2.0~4.0</t>
  </si>
  <si>
    <r>
      <rPr>
        <sz val="11"/>
        <color theme="1"/>
        <rFont val="宋体"/>
        <charset val="134"/>
      </rPr>
      <t>运行行程</t>
    </r>
    <r>
      <rPr>
        <sz val="11"/>
        <color theme="1"/>
        <rFont val="Tahoma"/>
        <charset val="134"/>
      </rPr>
      <t>Ld(mm)</t>
    </r>
  </si>
  <si>
    <t>单程</t>
  </si>
  <si>
    <r>
      <rPr>
        <sz val="11"/>
        <color theme="1"/>
        <rFont val="宋体"/>
        <charset val="134"/>
      </rPr>
      <t>每分钟往复次数</t>
    </r>
    <r>
      <rPr>
        <sz val="11"/>
        <color theme="1"/>
        <rFont val="Tahoma"/>
        <charset val="134"/>
      </rPr>
      <t>N</t>
    </r>
  </si>
  <si>
    <t>表2 接触系数fc</t>
  </si>
  <si>
    <r>
      <rPr>
        <sz val="11"/>
        <color theme="1"/>
        <rFont val="宋体"/>
        <charset val="134"/>
      </rPr>
      <t>设计寿命</t>
    </r>
    <r>
      <rPr>
        <sz val="11"/>
        <color theme="1"/>
        <rFont val="Tahoma"/>
        <charset val="134"/>
      </rPr>
      <t>Lh(h)</t>
    </r>
  </si>
  <si>
    <r>
      <rPr>
        <sz val="11"/>
        <color theme="1"/>
        <rFont val="宋体"/>
        <charset val="134"/>
      </rPr>
      <t>班时</t>
    </r>
    <r>
      <rPr>
        <sz val="11"/>
        <color theme="1"/>
        <rFont val="Tahoma"/>
        <charset val="134"/>
      </rPr>
      <t>*</t>
    </r>
    <r>
      <rPr>
        <sz val="11"/>
        <color theme="1"/>
        <rFont val="宋体"/>
        <charset val="134"/>
      </rPr>
      <t>天数</t>
    </r>
    <r>
      <rPr>
        <sz val="11"/>
        <color theme="1"/>
        <rFont val="Tahoma"/>
        <charset val="134"/>
      </rPr>
      <t>*</t>
    </r>
    <r>
      <rPr>
        <sz val="11"/>
        <color theme="1"/>
        <rFont val="宋体"/>
        <charset val="134"/>
      </rPr>
      <t>年数</t>
    </r>
  </si>
  <si>
    <t>每根轴上最多轴承数</t>
  </si>
  <si>
    <t>fc</t>
  </si>
  <si>
    <r>
      <rPr>
        <sz val="11"/>
        <color theme="1"/>
        <rFont val="Tahoma"/>
        <charset val="134"/>
      </rPr>
      <t>1</t>
    </r>
    <r>
      <rPr>
        <sz val="11"/>
        <color theme="1"/>
        <rFont val="宋体"/>
        <charset val="134"/>
      </rPr>
      <t xml:space="preserve">，直线轴承选
</t>
    </r>
    <r>
      <rPr>
        <sz val="11"/>
        <color theme="1"/>
        <rFont val="Tahoma"/>
        <charset val="134"/>
      </rPr>
      <t xml:space="preserve">     </t>
    </r>
    <r>
      <rPr>
        <sz val="11"/>
        <color theme="1"/>
        <rFont val="宋体"/>
        <charset val="134"/>
      </rPr>
      <t>型计算</t>
    </r>
  </si>
  <si>
    <r>
      <rPr>
        <sz val="11"/>
        <color theme="1"/>
        <rFont val="宋体"/>
        <charset val="134"/>
      </rPr>
      <t>平均速度</t>
    </r>
    <r>
      <rPr>
        <sz val="11"/>
        <color theme="1"/>
        <rFont val="Tahoma"/>
        <charset val="134"/>
      </rPr>
      <t>v(m/min)</t>
    </r>
  </si>
  <si>
    <r>
      <rPr>
        <sz val="11"/>
        <color theme="1"/>
        <rFont val="宋体"/>
        <charset val="134"/>
      </rPr>
      <t>负载条件系数</t>
    </r>
    <r>
      <rPr>
        <sz val="11"/>
        <color theme="1"/>
        <rFont val="Tahoma"/>
        <charset val="134"/>
      </rPr>
      <t>fw</t>
    </r>
  </si>
  <si>
    <r>
      <rPr>
        <sz val="11"/>
        <color theme="1"/>
        <rFont val="宋体"/>
        <charset val="134"/>
      </rPr>
      <t>光轴硬度</t>
    </r>
    <r>
      <rPr>
        <sz val="11"/>
        <color theme="1"/>
        <rFont val="Tahoma"/>
        <charset val="134"/>
      </rPr>
      <t>H(HRC)</t>
    </r>
  </si>
  <si>
    <r>
      <rPr>
        <sz val="11"/>
        <color theme="1"/>
        <rFont val="宋体"/>
        <charset val="134"/>
      </rPr>
      <t>一般</t>
    </r>
    <r>
      <rPr>
        <sz val="11"/>
        <color theme="1"/>
        <rFont val="Tahoma"/>
        <charset val="134"/>
      </rPr>
      <t>60</t>
    </r>
    <r>
      <rPr>
        <sz val="11"/>
        <color theme="1"/>
        <rFont val="宋体"/>
        <charset val="134"/>
      </rPr>
      <t>左右</t>
    </r>
  </si>
  <si>
    <r>
      <rPr>
        <sz val="11"/>
        <color theme="1"/>
        <rFont val="宋体"/>
        <charset val="134"/>
      </rPr>
      <t>硬度系数</t>
    </r>
    <r>
      <rPr>
        <sz val="11"/>
        <color theme="1"/>
        <rFont val="Tahoma"/>
        <charset val="134"/>
      </rPr>
      <t>f</t>
    </r>
    <r>
      <rPr>
        <vertAlign val="subscript"/>
        <sz val="14"/>
        <color theme="1"/>
        <rFont val="Tahoma"/>
        <charset val="134"/>
      </rPr>
      <t>H</t>
    </r>
  </si>
  <si>
    <r>
      <rPr>
        <sz val="11"/>
        <color theme="1"/>
        <rFont val="宋体"/>
        <charset val="134"/>
      </rPr>
      <t>导轨温度</t>
    </r>
    <r>
      <rPr>
        <sz val="11"/>
        <color theme="1"/>
        <rFont val="Tahoma"/>
        <charset val="134"/>
      </rPr>
      <t>T(</t>
    </r>
    <r>
      <rPr>
        <sz val="11"/>
        <color theme="1"/>
        <rFont val="宋体"/>
        <charset val="134"/>
      </rPr>
      <t>℃</t>
    </r>
    <r>
      <rPr>
        <sz val="11"/>
        <color theme="1"/>
        <rFont val="Tahoma"/>
        <charset val="134"/>
      </rPr>
      <t>)</t>
    </r>
  </si>
  <si>
    <r>
      <rPr>
        <sz val="11"/>
        <color theme="1"/>
        <rFont val="宋体"/>
        <charset val="134"/>
      </rPr>
      <t>一般＜</t>
    </r>
    <r>
      <rPr>
        <sz val="11"/>
        <color theme="1"/>
        <rFont val="Tahoma"/>
        <charset val="134"/>
      </rPr>
      <t>100</t>
    </r>
    <r>
      <rPr>
        <sz val="11"/>
        <color theme="1"/>
        <rFont val="宋体"/>
        <charset val="134"/>
      </rPr>
      <t>，填</t>
    </r>
    <r>
      <rPr>
        <sz val="11"/>
        <color theme="1"/>
        <rFont val="Tahoma"/>
        <charset val="134"/>
      </rPr>
      <t>100</t>
    </r>
    <r>
      <rPr>
        <sz val="11"/>
        <color theme="1"/>
        <rFont val="宋体"/>
        <charset val="134"/>
      </rPr>
      <t>即可</t>
    </r>
  </si>
  <si>
    <r>
      <rPr>
        <sz val="11"/>
        <color theme="1"/>
        <rFont val="宋体"/>
        <charset val="134"/>
      </rPr>
      <t>温度系数</t>
    </r>
    <r>
      <rPr>
        <sz val="11"/>
        <color theme="1"/>
        <rFont val="Tahoma"/>
        <charset val="134"/>
      </rPr>
      <t>f</t>
    </r>
    <r>
      <rPr>
        <vertAlign val="subscript"/>
        <sz val="14"/>
        <color theme="1"/>
        <rFont val="Tahoma"/>
        <charset val="134"/>
      </rPr>
      <t>T</t>
    </r>
  </si>
  <si>
    <r>
      <rPr>
        <sz val="11"/>
        <color theme="1"/>
        <rFont val="宋体"/>
        <charset val="134"/>
      </rPr>
      <t>≥</t>
    </r>
    <r>
      <rPr>
        <sz val="11"/>
        <color theme="1"/>
        <rFont val="Tahoma"/>
        <charset val="134"/>
      </rPr>
      <t>6</t>
    </r>
  </si>
  <si>
    <t>每根导轨上最多轴承数</t>
  </si>
  <si>
    <r>
      <rPr>
        <sz val="11"/>
        <color theme="1"/>
        <rFont val="宋体"/>
        <charset val="134"/>
      </rPr>
      <t>接触系数</t>
    </r>
    <r>
      <rPr>
        <sz val="11"/>
        <color theme="1"/>
        <rFont val="Tahoma"/>
        <charset val="134"/>
      </rPr>
      <t>fc</t>
    </r>
  </si>
  <si>
    <t>单个轴承承受载荷P(N)</t>
  </si>
  <si>
    <r>
      <rPr>
        <sz val="10"/>
        <color theme="1"/>
        <rFont val="宋体"/>
        <charset val="134"/>
      </rPr>
      <t>已放大</t>
    </r>
    <r>
      <rPr>
        <sz val="10"/>
        <color theme="1"/>
        <rFont val="Tahoma"/>
        <charset val="134"/>
      </rPr>
      <t>1.2</t>
    </r>
    <r>
      <rPr>
        <sz val="10"/>
        <color theme="1"/>
        <rFont val="宋体"/>
        <charset val="134"/>
      </rPr>
      <t>倍安全系数</t>
    </r>
  </si>
  <si>
    <r>
      <rPr>
        <sz val="11"/>
        <color theme="1"/>
        <rFont val="宋体"/>
        <charset val="134"/>
      </rPr>
      <t>计算额定寿命</t>
    </r>
    <r>
      <rPr>
        <sz val="11"/>
        <color theme="1"/>
        <rFont val="Tahoma"/>
        <charset val="134"/>
      </rPr>
      <t>L(km)</t>
    </r>
  </si>
  <si>
    <r>
      <rPr>
        <sz val="10"/>
        <color theme="1"/>
        <rFont val="宋体"/>
        <charset val="134"/>
      </rPr>
      <t>公式见附图</t>
    </r>
    <r>
      <rPr>
        <sz val="10"/>
        <color theme="1"/>
        <rFont val="Tahoma"/>
        <charset val="134"/>
      </rPr>
      <t>2</t>
    </r>
  </si>
  <si>
    <r>
      <rPr>
        <sz val="11"/>
        <color theme="1"/>
        <rFont val="宋体"/>
        <charset val="134"/>
      </rPr>
      <t>计算动载荷</t>
    </r>
    <r>
      <rPr>
        <sz val="11"/>
        <color theme="1"/>
        <rFont val="Tahoma"/>
        <charset val="134"/>
      </rPr>
      <t>C(N)</t>
    </r>
  </si>
  <si>
    <t>对照动载荷查样本，
轴承的额定动载荷
必须＞计算动载荷</t>
  </si>
  <si>
    <t>型号选择</t>
  </si>
  <si>
    <r>
      <rPr>
        <sz val="11"/>
        <color theme="1"/>
        <rFont val="宋体"/>
        <charset val="134"/>
      </rPr>
      <t>说明：</t>
    </r>
    <r>
      <rPr>
        <sz val="11"/>
        <color theme="1"/>
        <rFont val="Tahoma"/>
        <charset val="134"/>
      </rPr>
      <t xml:space="preserve"> 
    1</t>
    </r>
    <r>
      <rPr>
        <sz val="11"/>
        <color theme="1"/>
        <rFont val="宋体"/>
        <charset val="134"/>
      </rPr>
      <t>，为使直线运动系列达到最佳的承</t>
    </r>
    <r>
      <rPr>
        <sz val="11"/>
        <color theme="1"/>
        <rFont val="Tahoma"/>
        <charset val="134"/>
      </rPr>
      <t xml:space="preserve"> </t>
    </r>
    <r>
      <rPr>
        <sz val="11"/>
        <color theme="1"/>
        <rFont val="宋体"/>
        <charset val="134"/>
      </rPr>
      <t>载能力，导轨的硬度应该达到</t>
    </r>
    <r>
      <rPr>
        <sz val="11"/>
        <color theme="1"/>
        <rFont val="Tahoma"/>
        <charset val="134"/>
      </rPr>
      <t>HRC58</t>
    </r>
    <r>
      <rPr>
        <sz val="11"/>
        <color theme="1"/>
        <rFont val="宋体"/>
        <charset val="134"/>
      </rPr>
      <t>～</t>
    </r>
    <r>
      <rPr>
        <sz val="11"/>
        <color theme="1"/>
        <rFont val="Tahoma"/>
        <charset val="134"/>
      </rPr>
      <t>60</t>
    </r>
    <r>
      <rPr>
        <sz val="11"/>
        <color theme="1"/>
        <rFont val="宋体"/>
        <charset val="134"/>
      </rPr>
      <t>。若硬度低于此范围，基本额定动载荷和基本额定静载荷将会降低</t>
    </r>
    <r>
      <rPr>
        <sz val="11"/>
        <color theme="1"/>
        <rFont val="Tahoma"/>
        <charset val="134"/>
      </rPr>
      <t xml:space="preserve">
    2</t>
    </r>
    <r>
      <rPr>
        <sz val="11"/>
        <color theme="1"/>
        <rFont val="宋体"/>
        <charset val="134"/>
      </rPr>
      <t>，若直线轴承使用的环境温度高于</t>
    </r>
    <r>
      <rPr>
        <sz val="11"/>
        <color theme="1"/>
        <rFont val="Tahoma"/>
        <charset val="134"/>
      </rPr>
      <t>100</t>
    </r>
    <r>
      <rPr>
        <sz val="11"/>
        <color theme="1"/>
        <rFont val="宋体"/>
        <charset val="134"/>
      </rPr>
      <t>○</t>
    </r>
    <r>
      <rPr>
        <sz val="11"/>
        <color theme="1"/>
        <rFont val="Tahoma"/>
        <charset val="134"/>
      </rPr>
      <t>C</t>
    </r>
    <r>
      <rPr>
        <sz val="11"/>
        <color theme="1"/>
        <rFont val="宋体"/>
        <charset val="134"/>
      </rPr>
      <t>就要考虑与环境温度有关的温度系数</t>
    </r>
    <r>
      <rPr>
        <sz val="11"/>
        <color theme="1"/>
        <rFont val="Tahoma"/>
        <charset val="134"/>
      </rPr>
      <t xml:space="preserve"> </t>
    </r>
    <r>
      <rPr>
        <sz val="11"/>
        <color theme="1"/>
        <rFont val="宋体"/>
        <charset val="134"/>
      </rPr>
      <t xml:space="preserve">
</t>
    </r>
    <r>
      <rPr>
        <sz val="11"/>
        <color theme="1"/>
        <rFont val="Tahoma"/>
        <charset val="134"/>
      </rPr>
      <t xml:space="preserve">    3</t>
    </r>
    <r>
      <rPr>
        <sz val="11"/>
        <color theme="1"/>
        <rFont val="宋体"/>
        <charset val="134"/>
      </rPr>
      <t>，硬度系数和温度系数如附图</t>
    </r>
    <r>
      <rPr>
        <sz val="11"/>
        <color theme="1"/>
        <rFont val="Tahoma"/>
        <charset val="134"/>
      </rPr>
      <t>1</t>
    </r>
    <r>
      <rPr>
        <sz val="11"/>
        <color theme="1"/>
        <rFont val="宋体"/>
        <charset val="134"/>
      </rPr>
      <t>，在本软件中已转换为公式。</t>
    </r>
  </si>
  <si>
    <r>
      <rPr>
        <sz val="12"/>
        <color theme="1"/>
        <rFont val="宋体"/>
        <charset val="134"/>
      </rPr>
      <t>文档信息
编写：煜宸
参考：《直线轴承选型》</t>
    </r>
    <r>
      <rPr>
        <sz val="12"/>
        <color theme="1"/>
        <rFont val="Tahoma"/>
        <charset val="134"/>
      </rPr>
      <t>——(</t>
    </r>
    <r>
      <rPr>
        <sz val="12"/>
        <color theme="1"/>
        <rFont val="宋体"/>
        <charset val="134"/>
      </rPr>
      <t>前桥教育</t>
    </r>
    <r>
      <rPr>
        <sz val="12"/>
        <color theme="1"/>
        <rFont val="Tahoma"/>
        <charset val="134"/>
      </rPr>
      <t xml:space="preserve">) </t>
    </r>
    <r>
      <rPr>
        <sz val="12"/>
        <color theme="1"/>
        <rFont val="宋体"/>
        <charset val="134"/>
      </rPr>
      <t xml:space="preserve">宣言
</t>
    </r>
    <r>
      <rPr>
        <sz val="12"/>
        <color theme="1"/>
        <rFont val="Tahoma"/>
        <charset val="134"/>
      </rPr>
      <t xml:space="preserve">                                                                                                       
                                                                              2018.8.15   </t>
    </r>
  </si>
  <si>
    <t>附图1 硬度系数和温度系数</t>
  </si>
  <si>
    <r>
      <rPr>
        <sz val="11"/>
        <color theme="1"/>
        <rFont val="宋体"/>
        <charset val="134"/>
      </rPr>
      <t>附图</t>
    </r>
    <r>
      <rPr>
        <sz val="11"/>
        <color theme="1"/>
        <rFont val="Tahoma"/>
        <charset val="134"/>
      </rPr>
      <t xml:space="preserve">2 </t>
    </r>
    <r>
      <rPr>
        <sz val="11"/>
        <color theme="1"/>
        <rFont val="宋体"/>
        <charset val="134"/>
      </rPr>
      <t>滚珠直线轴承寿命计算公式（计算动载荷从中演变而来）</t>
    </r>
  </si>
  <si>
    <t>(2导轨+4滑块)直线导轨滑块与直线轴承选型向导</t>
  </si>
  <si>
    <t>直线导轨滑块</t>
  </si>
  <si>
    <t>振动与冲击</t>
  </si>
  <si>
    <t>布局方式</t>
  </si>
  <si>
    <t>微小</t>
  </si>
  <si>
    <t>60~120</t>
  </si>
  <si>
    <r>
      <rPr>
        <sz val="11"/>
        <color theme="1"/>
        <rFont val="宋体"/>
        <charset val="134"/>
      </rPr>
      <t>＞</t>
    </r>
    <r>
      <rPr>
        <sz val="11"/>
        <color theme="1"/>
        <rFont val="Tahoma"/>
        <charset val="134"/>
      </rPr>
      <t>120</t>
    </r>
  </si>
  <si>
    <t>2.0~3.5</t>
  </si>
  <si>
    <r>
      <rPr>
        <sz val="11"/>
        <color theme="1"/>
        <rFont val="宋体"/>
        <charset val="134"/>
      </rPr>
      <t>运行行程</t>
    </r>
    <r>
      <rPr>
        <sz val="11"/>
        <color theme="1"/>
        <rFont val="Tahoma"/>
        <charset val="134"/>
      </rPr>
      <t>L</t>
    </r>
    <r>
      <rPr>
        <sz val="11"/>
        <color theme="1"/>
        <rFont val="宋体"/>
        <charset val="134"/>
      </rPr>
      <t>s</t>
    </r>
    <r>
      <rPr>
        <sz val="11"/>
        <color theme="1"/>
        <rFont val="Tahoma"/>
        <charset val="134"/>
      </rPr>
      <t>(mm)</t>
    </r>
  </si>
  <si>
    <r>
      <rPr>
        <sz val="11"/>
        <color theme="1"/>
        <rFont val="宋体"/>
        <charset val="134"/>
      </rPr>
      <t>启动时间</t>
    </r>
    <r>
      <rPr>
        <sz val="11"/>
        <color theme="1"/>
        <rFont val="Tahoma"/>
        <charset val="134"/>
      </rPr>
      <t>t1(s)</t>
    </r>
  </si>
  <si>
    <r>
      <rPr>
        <sz val="11"/>
        <color theme="1"/>
        <rFont val="宋体"/>
        <charset val="134"/>
      </rPr>
      <t>一般都是</t>
    </r>
    <r>
      <rPr>
        <sz val="11"/>
        <color theme="1"/>
        <rFont val="Tahoma"/>
        <charset val="134"/>
      </rPr>
      <t>0.2</t>
    </r>
  </si>
  <si>
    <r>
      <rPr>
        <sz val="11"/>
        <color theme="1"/>
        <rFont val="宋体"/>
        <charset val="134"/>
      </rPr>
      <t>刹车时间</t>
    </r>
    <r>
      <rPr>
        <sz val="11"/>
        <color theme="1"/>
        <rFont val="Tahoma"/>
        <charset val="134"/>
      </rPr>
      <t>t3(s)</t>
    </r>
  </si>
  <si>
    <t>直线轴承</t>
  </si>
  <si>
    <t>每往复一次静止时间tx</t>
  </si>
  <si>
    <t>含电器反应时间</t>
  </si>
  <si>
    <r>
      <rPr>
        <sz val="11"/>
        <color theme="1"/>
        <rFont val="宋体"/>
        <charset val="134"/>
      </rPr>
      <t>计算额定寿命</t>
    </r>
    <r>
      <rPr>
        <sz val="11"/>
        <color theme="1"/>
        <rFont val="Tahoma"/>
        <charset val="134"/>
      </rPr>
      <t>L</t>
    </r>
  </si>
  <si>
    <r>
      <rPr>
        <sz val="11"/>
        <color theme="1"/>
        <rFont val="宋体"/>
        <charset val="134"/>
      </rPr>
      <t>公式见附图</t>
    </r>
    <r>
      <rPr>
        <sz val="11"/>
        <color theme="1"/>
        <rFont val="Tahoma"/>
        <charset val="134"/>
      </rPr>
      <t>2</t>
    </r>
  </si>
  <si>
    <r>
      <rPr>
        <sz val="11"/>
        <color theme="1"/>
        <rFont val="Tahoma"/>
        <charset val="134"/>
      </rPr>
      <t>1</t>
    </r>
    <r>
      <rPr>
        <sz val="11"/>
        <color theme="1"/>
        <rFont val="宋体"/>
        <charset val="134"/>
      </rPr>
      <t>，工况系</t>
    </r>
    <r>
      <rPr>
        <sz val="11"/>
        <color theme="1"/>
        <rFont val="宋体"/>
        <charset val="134"/>
      </rPr>
      <t>数</t>
    </r>
  </si>
  <si>
    <r>
      <rPr>
        <sz val="11"/>
        <color theme="1"/>
        <rFont val="宋体"/>
        <charset val="134"/>
      </rPr>
      <t>表</t>
    </r>
    <r>
      <rPr>
        <sz val="11"/>
        <color theme="1"/>
        <rFont val="Tahoma"/>
        <charset val="134"/>
      </rPr>
      <t xml:space="preserve">2 </t>
    </r>
    <r>
      <rPr>
        <sz val="11"/>
        <color theme="1"/>
        <rFont val="宋体"/>
        <charset val="134"/>
      </rPr>
      <t>重心位置与负载力计算</t>
    </r>
  </si>
  <si>
    <r>
      <rPr>
        <sz val="11"/>
        <color theme="1"/>
        <rFont val="Tahoma"/>
        <charset val="134"/>
      </rPr>
      <t>2</t>
    </r>
    <r>
      <rPr>
        <sz val="11"/>
        <color theme="1"/>
        <rFont val="宋体"/>
        <charset val="134"/>
      </rPr>
      <t>，计算加速度</t>
    </r>
    <r>
      <rPr>
        <sz val="11"/>
        <color theme="1"/>
        <rFont val="Tahoma"/>
        <charset val="134"/>
      </rPr>
      <t xml:space="preserve">    </t>
    </r>
  </si>
  <si>
    <r>
      <rPr>
        <sz val="11"/>
        <color theme="1"/>
        <rFont val="宋体"/>
        <charset val="134"/>
      </rPr>
      <t>启动加速度</t>
    </r>
    <r>
      <rPr>
        <sz val="11"/>
        <color theme="1"/>
        <rFont val="Tahoma"/>
        <charset val="134"/>
      </rPr>
      <t>a1(m/s²)</t>
    </r>
  </si>
  <si>
    <r>
      <rPr>
        <sz val="11"/>
        <color theme="1"/>
        <rFont val="宋体"/>
        <charset val="134"/>
      </rPr>
      <t>刹车加速度</t>
    </r>
    <r>
      <rPr>
        <sz val="11"/>
        <color theme="1"/>
        <rFont val="Tahoma"/>
        <charset val="134"/>
      </rPr>
      <t>a3(m/s²)</t>
    </r>
  </si>
  <si>
    <r>
      <rPr>
        <sz val="11"/>
        <color theme="1"/>
        <rFont val="Tahoma"/>
        <charset val="134"/>
      </rPr>
      <t>3</t>
    </r>
    <r>
      <rPr>
        <sz val="11"/>
        <color theme="1"/>
        <rFont val="宋体"/>
        <charset val="134"/>
      </rPr>
      <t xml:space="preserve">，确定重心位
</t>
    </r>
    <r>
      <rPr>
        <sz val="11"/>
        <color theme="1"/>
        <rFont val="Tahoma"/>
        <charset val="134"/>
      </rPr>
      <t xml:space="preserve">     </t>
    </r>
    <r>
      <rPr>
        <sz val="11"/>
        <color theme="1"/>
        <rFont val="宋体"/>
        <charset val="134"/>
      </rPr>
      <t xml:space="preserve">置，计算最
</t>
    </r>
    <r>
      <rPr>
        <sz val="11"/>
        <color theme="1"/>
        <rFont val="Tahoma"/>
        <charset val="134"/>
      </rPr>
      <t xml:space="preserve">     </t>
    </r>
    <r>
      <rPr>
        <sz val="11"/>
        <color theme="1"/>
        <rFont val="宋体"/>
        <charset val="134"/>
      </rPr>
      <t>大负载力</t>
    </r>
  </si>
  <si>
    <r>
      <rPr>
        <sz val="11"/>
        <color theme="1"/>
        <rFont val="宋体"/>
        <charset val="134"/>
      </rPr>
      <t>滑块距离</t>
    </r>
    <r>
      <rPr>
        <sz val="11"/>
        <color theme="1"/>
        <rFont val="Tahoma"/>
        <charset val="134"/>
      </rPr>
      <t>L0</t>
    </r>
  </si>
  <si>
    <r>
      <rPr>
        <sz val="11"/>
        <color theme="1"/>
        <rFont val="宋体"/>
        <charset val="134"/>
      </rPr>
      <t>见表</t>
    </r>
    <r>
      <rPr>
        <sz val="11"/>
        <color theme="1"/>
        <rFont val="Tahoma"/>
        <charset val="134"/>
      </rPr>
      <t>3</t>
    </r>
  </si>
  <si>
    <r>
      <rPr>
        <sz val="11"/>
        <color theme="1"/>
        <rFont val="宋体"/>
        <charset val="134"/>
      </rPr>
      <t>负载重心位置</t>
    </r>
    <r>
      <rPr>
        <sz val="11"/>
        <color theme="1"/>
        <rFont val="Tahoma"/>
        <charset val="134"/>
      </rPr>
      <t>L2</t>
    </r>
  </si>
  <si>
    <r>
      <rPr>
        <sz val="11"/>
        <color theme="1"/>
        <rFont val="宋体"/>
        <charset val="134"/>
      </rPr>
      <t>负载重心位置</t>
    </r>
    <r>
      <rPr>
        <sz val="11"/>
        <color theme="1"/>
        <rFont val="Tahoma"/>
        <charset val="134"/>
      </rPr>
      <t>L3</t>
    </r>
  </si>
  <si>
    <r>
      <rPr>
        <sz val="11"/>
        <color rgb="FF00B0F0"/>
        <rFont val="宋体"/>
        <charset val="134"/>
      </rPr>
      <t>加速时</t>
    </r>
    <r>
      <rPr>
        <sz val="11"/>
        <color theme="1"/>
        <rFont val="Tahoma"/>
        <charset val="134"/>
      </rPr>
      <t>P1=P4</t>
    </r>
  </si>
  <si>
    <t>加速时</t>
  </si>
  <si>
    <r>
      <rPr>
        <sz val="11"/>
        <color rgb="FF00B0F0"/>
        <rFont val="宋体"/>
        <charset val="134"/>
      </rPr>
      <t>加速时</t>
    </r>
    <r>
      <rPr>
        <sz val="11"/>
        <color theme="1"/>
        <rFont val="Tahoma"/>
        <charset val="134"/>
      </rPr>
      <t>P2=P3</t>
    </r>
  </si>
  <si>
    <r>
      <rPr>
        <sz val="11"/>
        <color rgb="FF00B0F0"/>
        <rFont val="宋体"/>
        <charset val="134"/>
      </rPr>
      <t>加速时</t>
    </r>
    <r>
      <rPr>
        <sz val="11"/>
        <color theme="1"/>
        <rFont val="Tahoma"/>
        <charset val="134"/>
      </rPr>
      <t>P1T=P4T</t>
    </r>
  </si>
  <si>
    <r>
      <rPr>
        <sz val="11"/>
        <color rgb="FF00B0F0"/>
        <rFont val="宋体"/>
        <charset val="134"/>
      </rPr>
      <t>加速时</t>
    </r>
    <r>
      <rPr>
        <sz val="11"/>
        <color theme="1"/>
        <rFont val="Tahoma"/>
        <charset val="134"/>
      </rPr>
      <t>P2T=P3T</t>
    </r>
  </si>
  <si>
    <r>
      <rPr>
        <sz val="11"/>
        <color theme="9" tint="-0.499984740745262"/>
        <rFont val="宋体"/>
        <charset val="134"/>
      </rPr>
      <t>减速时</t>
    </r>
    <r>
      <rPr>
        <sz val="11"/>
        <color theme="1"/>
        <rFont val="Tahoma"/>
        <charset val="134"/>
      </rPr>
      <t>P1=P4</t>
    </r>
  </si>
  <si>
    <t>减速时</t>
  </si>
  <si>
    <r>
      <rPr>
        <sz val="11"/>
        <color theme="9" tint="-0.499984740745262"/>
        <rFont val="宋体"/>
        <charset val="134"/>
      </rPr>
      <t>减速时</t>
    </r>
    <r>
      <rPr>
        <sz val="11"/>
        <color theme="1"/>
        <rFont val="Tahoma"/>
        <charset val="134"/>
      </rPr>
      <t>P2=P3</t>
    </r>
  </si>
  <si>
    <r>
      <rPr>
        <sz val="11"/>
        <color theme="9" tint="-0.499984740745262"/>
        <rFont val="宋体"/>
        <charset val="134"/>
      </rPr>
      <t>减速时</t>
    </r>
    <r>
      <rPr>
        <sz val="11"/>
        <color theme="1"/>
        <rFont val="Tahoma"/>
        <charset val="134"/>
      </rPr>
      <t>P1T=P4T</t>
    </r>
  </si>
  <si>
    <r>
      <rPr>
        <sz val="11"/>
        <color theme="9" tint="-0.499984740745262"/>
        <rFont val="宋体"/>
        <charset val="134"/>
      </rPr>
      <t>减速时</t>
    </r>
    <r>
      <rPr>
        <sz val="11"/>
        <color theme="1"/>
        <rFont val="Tahoma"/>
        <charset val="134"/>
      </rPr>
      <t>P2T=P3T</t>
    </r>
  </si>
  <si>
    <r>
      <rPr>
        <sz val="11"/>
        <color theme="1"/>
        <rFont val="宋体"/>
        <charset val="134"/>
      </rPr>
      <t>滑块最大受力</t>
    </r>
    <r>
      <rPr>
        <sz val="11"/>
        <color theme="1"/>
        <rFont val="Tahoma"/>
        <charset val="134"/>
      </rPr>
      <t>Pc</t>
    </r>
  </si>
  <si>
    <r>
      <rPr>
        <sz val="11"/>
        <color theme="1"/>
        <rFont val="宋体"/>
        <charset val="134"/>
      </rPr>
      <t>对免润滑计算</t>
    </r>
    <r>
      <rPr>
        <sz val="11"/>
        <color theme="1"/>
        <rFont val="Tahoma"/>
        <charset val="134"/>
      </rPr>
      <t>F0</t>
    </r>
  </si>
  <si>
    <r>
      <rPr>
        <sz val="11"/>
        <color theme="1"/>
        <rFont val="Tahoma"/>
        <charset val="134"/>
      </rPr>
      <t>4</t>
    </r>
    <r>
      <rPr>
        <sz val="11"/>
        <color theme="1"/>
        <rFont val="宋体"/>
        <charset val="134"/>
      </rPr>
      <t>，选型</t>
    </r>
  </si>
  <si>
    <r>
      <rPr>
        <sz val="11"/>
        <color theme="1"/>
        <rFont val="宋体"/>
        <charset val="134"/>
      </rPr>
      <t>说明：</t>
    </r>
    <r>
      <rPr>
        <sz val="11"/>
        <color theme="1"/>
        <rFont val="Tahoma"/>
        <charset val="134"/>
      </rPr>
      <t xml:space="preserve"> 
    1</t>
    </r>
    <r>
      <rPr>
        <sz val="11"/>
        <color theme="1"/>
        <rFont val="宋体"/>
        <charset val="134"/>
      </rPr>
      <t>，为使直线运动系列达到最佳的承载能力，导轨的硬度应该达到</t>
    </r>
    <r>
      <rPr>
        <sz val="11"/>
        <color theme="1"/>
        <rFont val="Tahoma"/>
        <charset val="134"/>
      </rPr>
      <t>HRC58</t>
    </r>
    <r>
      <rPr>
        <sz val="11"/>
        <color theme="1"/>
        <rFont val="宋体"/>
        <charset val="134"/>
      </rPr>
      <t>～</t>
    </r>
    <r>
      <rPr>
        <sz val="11"/>
        <color theme="1"/>
        <rFont val="Tahoma"/>
        <charset val="134"/>
      </rPr>
      <t>60</t>
    </r>
    <r>
      <rPr>
        <sz val="11"/>
        <color theme="1"/>
        <rFont val="宋体"/>
        <charset val="134"/>
      </rPr>
      <t>。若硬度低于此范围，基本额定动载荷和基本额定静载荷将会降低</t>
    </r>
    <r>
      <rPr>
        <sz val="11"/>
        <color theme="1"/>
        <rFont val="Tahoma"/>
        <charset val="134"/>
      </rPr>
      <t xml:space="preserve">
    2</t>
    </r>
    <r>
      <rPr>
        <sz val="11"/>
        <color theme="1"/>
        <rFont val="宋体"/>
        <charset val="134"/>
      </rPr>
      <t>，若直线轴承使用的环境温度高于</t>
    </r>
    <r>
      <rPr>
        <sz val="11"/>
        <color theme="1"/>
        <rFont val="Tahoma"/>
        <charset val="134"/>
      </rPr>
      <t>100</t>
    </r>
    <r>
      <rPr>
        <sz val="11"/>
        <color theme="1"/>
        <rFont val="宋体"/>
        <charset val="134"/>
      </rPr>
      <t>°</t>
    </r>
    <r>
      <rPr>
        <sz val="11"/>
        <color theme="1"/>
        <rFont val="Tahoma"/>
        <charset val="134"/>
      </rPr>
      <t>C</t>
    </r>
    <r>
      <rPr>
        <sz val="11"/>
        <color theme="1"/>
        <rFont val="宋体"/>
        <charset val="134"/>
      </rPr>
      <t>就要考虑与环境温度有关的温度系数</t>
    </r>
    <r>
      <rPr>
        <sz val="11"/>
        <color theme="1"/>
        <rFont val="Tahoma"/>
        <charset val="134"/>
      </rPr>
      <t xml:space="preserve"> </t>
    </r>
    <r>
      <rPr>
        <sz val="11"/>
        <color theme="1"/>
        <rFont val="宋体"/>
        <charset val="134"/>
      </rPr>
      <t xml:space="preserve">
</t>
    </r>
    <r>
      <rPr>
        <sz val="11"/>
        <color theme="1"/>
        <rFont val="Tahoma"/>
        <charset val="134"/>
      </rPr>
      <t xml:space="preserve">    3</t>
    </r>
    <r>
      <rPr>
        <sz val="11"/>
        <color theme="1"/>
        <rFont val="宋体"/>
        <charset val="134"/>
      </rPr>
      <t>，硬度系数和温度系数如附图</t>
    </r>
    <r>
      <rPr>
        <sz val="11"/>
        <color theme="1"/>
        <rFont val="Tahoma"/>
        <charset val="134"/>
      </rPr>
      <t>1</t>
    </r>
    <r>
      <rPr>
        <sz val="11"/>
        <color theme="1"/>
        <rFont val="宋体"/>
        <charset val="134"/>
      </rPr>
      <t xml:space="preserve">，在本软件中已转换为公式
</t>
    </r>
    <r>
      <rPr>
        <sz val="11"/>
        <color theme="1"/>
        <rFont val="Tahoma"/>
        <charset val="134"/>
      </rPr>
      <t xml:space="preserve">    4</t>
    </r>
    <r>
      <rPr>
        <sz val="11"/>
        <color theme="1"/>
        <rFont val="宋体"/>
        <charset val="134"/>
      </rPr>
      <t>，一般计算步骤：先算出要求寿命和最大负载力</t>
    </r>
    <r>
      <rPr>
        <sz val="11"/>
        <color theme="1"/>
        <rFont val="Tahoma"/>
        <charset val="134"/>
      </rPr>
      <t>(</t>
    </r>
    <r>
      <rPr>
        <sz val="11"/>
        <color theme="1"/>
        <rFont val="宋体"/>
        <charset val="134"/>
      </rPr>
      <t>外力</t>
    </r>
    <r>
      <rPr>
        <sz val="11"/>
        <color theme="1"/>
        <rFont val="Tahoma"/>
        <charset val="134"/>
      </rPr>
      <t>)</t>
    </r>
    <r>
      <rPr>
        <sz val="11"/>
        <color theme="1"/>
        <rFont val="宋体"/>
        <charset val="134"/>
      </rPr>
      <t xml:space="preserve">，再计算出动载荷，根据动载荷选择直线轴承或导轨滑块
</t>
    </r>
    <r>
      <rPr>
        <sz val="11"/>
        <color theme="1"/>
        <rFont val="Tahoma"/>
        <charset val="134"/>
      </rPr>
      <t xml:space="preserve">    5</t>
    </r>
    <r>
      <rPr>
        <sz val="11"/>
        <color theme="1"/>
        <rFont val="宋体"/>
        <charset val="134"/>
      </rPr>
      <t>，直线轴承与直线导轨滑块区别：一般直线轴承的光轴为两端固定，导轨滑块的直线导轨为均匀固定，一般直线轴承中孔为圆形，直线轴承为方形，直线导轨滑块精度更高、负载能力更强、价格更高、应用更广，直线轴承一般只用于水平短距离传输</t>
    </r>
  </si>
  <si>
    <r>
      <rPr>
        <sz val="12"/>
        <color theme="1"/>
        <rFont val="宋体"/>
        <charset val="134"/>
      </rPr>
      <t>文档信息
编写：煜宸
参考：《导轨滑块选型》</t>
    </r>
    <r>
      <rPr>
        <sz val="12"/>
        <color theme="1"/>
        <rFont val="Tahoma"/>
        <charset val="134"/>
      </rPr>
      <t>——(</t>
    </r>
    <r>
      <rPr>
        <sz val="12"/>
        <color theme="1"/>
        <rFont val="宋体"/>
        <charset val="134"/>
      </rPr>
      <t>前桥教育</t>
    </r>
    <r>
      <rPr>
        <sz val="12"/>
        <color theme="1"/>
        <rFont val="Tahoma"/>
        <charset val="134"/>
      </rPr>
      <t xml:space="preserve">) </t>
    </r>
    <r>
      <rPr>
        <sz val="12"/>
        <color theme="1"/>
        <rFont val="宋体"/>
        <charset val="134"/>
      </rPr>
      <t xml:space="preserve">宣言
</t>
    </r>
    <r>
      <rPr>
        <sz val="12"/>
        <color theme="1"/>
        <rFont val="Tahoma"/>
        <charset val="134"/>
      </rPr>
      <t xml:space="preserve">                                                                                                       
                                                                              2018.8.15   </t>
    </r>
  </si>
  <si>
    <r>
      <rPr>
        <sz val="11"/>
        <color theme="1"/>
        <rFont val="宋体"/>
        <charset val="134"/>
      </rPr>
      <t>表</t>
    </r>
    <r>
      <rPr>
        <sz val="11"/>
        <color theme="1"/>
        <rFont val="Tahoma"/>
        <charset val="134"/>
      </rPr>
      <t>3 THK</t>
    </r>
    <r>
      <rPr>
        <sz val="11"/>
        <color theme="1"/>
        <rFont val="宋体"/>
        <charset val="134"/>
      </rPr>
      <t>导轨滑块样本截图</t>
    </r>
  </si>
  <si>
    <r>
      <rPr>
        <sz val="11"/>
        <color theme="1"/>
        <rFont val="宋体"/>
        <charset val="134"/>
      </rPr>
      <t>附图</t>
    </r>
    <r>
      <rPr>
        <sz val="11"/>
        <color theme="1"/>
        <rFont val="Tahoma"/>
        <charset val="134"/>
      </rPr>
      <t xml:space="preserve">2 </t>
    </r>
    <r>
      <rPr>
        <sz val="11"/>
        <color theme="1"/>
        <rFont val="宋体"/>
        <charset val="134"/>
      </rPr>
      <t>滚珠直线轴承寿命计算公式</t>
    </r>
  </si>
  <si>
    <r>
      <rPr>
        <sz val="11"/>
        <color theme="1"/>
        <rFont val="宋体"/>
        <charset val="134"/>
      </rPr>
      <t>附图</t>
    </r>
    <r>
      <rPr>
        <sz val="11"/>
        <color theme="1"/>
        <rFont val="Tahoma"/>
        <charset val="134"/>
      </rPr>
      <t xml:space="preserve">3 </t>
    </r>
    <r>
      <rPr>
        <sz val="11"/>
        <color theme="1"/>
        <rFont val="宋体"/>
        <charset val="134"/>
      </rPr>
      <t>寿命与动载荷公式</t>
    </r>
  </si>
  <si>
    <t>(2导轨+2滑块)直线导轨滑块与直线轴承选型向导</t>
  </si>
  <si>
    <t>重心高度h</t>
  </si>
  <si>
    <t>重心横向偏移e</t>
  </si>
  <si>
    <t>重心纵向偏移d</t>
  </si>
  <si>
    <t>P1=P2</t>
  </si>
  <si>
    <t>P1T=P2T</t>
  </si>
  <si>
    <t>(1导轨+1滑块)直线导轨滑块与直线轴承选型向导</t>
  </si>
  <si>
    <t xml:space="preserve">    滚珠丝杆选型向导(以THK丝杆为例)</t>
  </si>
  <si>
    <r>
      <rPr>
        <sz val="11"/>
        <color theme="1"/>
        <rFont val="宋体"/>
        <charset val="134"/>
      </rPr>
      <t>工件重量</t>
    </r>
    <r>
      <rPr>
        <sz val="11"/>
        <color theme="1"/>
        <rFont val="Tahoma"/>
        <charset val="134"/>
      </rPr>
      <t>m1(kg)</t>
    </r>
  </si>
  <si>
    <r>
      <rPr>
        <sz val="11"/>
        <color theme="1"/>
        <rFont val="宋体"/>
        <charset val="134"/>
      </rPr>
      <t>工作台重量</t>
    </r>
    <r>
      <rPr>
        <sz val="11"/>
        <color theme="1"/>
        <rFont val="Tahoma"/>
        <charset val="134"/>
      </rPr>
      <t>m2(kg)</t>
    </r>
  </si>
  <si>
    <r>
      <rPr>
        <sz val="11"/>
        <color theme="1"/>
        <rFont val="宋体"/>
        <charset val="134"/>
      </rPr>
      <t>负载总重量</t>
    </r>
    <r>
      <rPr>
        <sz val="11"/>
        <color theme="1"/>
        <rFont val="Tahoma"/>
        <charset val="134"/>
      </rPr>
      <t>m(kg)</t>
    </r>
  </si>
  <si>
    <r>
      <rPr>
        <sz val="11"/>
        <color theme="1"/>
        <rFont val="宋体"/>
        <charset val="134"/>
      </rPr>
      <t>运行行程</t>
    </r>
    <r>
      <rPr>
        <sz val="11"/>
        <color theme="1"/>
        <rFont val="Tahoma"/>
        <charset val="134"/>
      </rPr>
      <t>L</t>
    </r>
    <r>
      <rPr>
        <sz val="11"/>
        <color theme="1"/>
        <rFont val="Tahoma"/>
        <charset val="134"/>
      </rPr>
      <t>(mm)</t>
    </r>
  </si>
  <si>
    <r>
      <rPr>
        <sz val="11"/>
        <color theme="1"/>
        <rFont val="宋体"/>
        <charset val="134"/>
      </rPr>
      <t>往复一个周期时间</t>
    </r>
    <r>
      <rPr>
        <sz val="11"/>
        <color theme="1"/>
        <rFont val="Tahoma"/>
        <charset val="134"/>
      </rPr>
      <t>t(s)</t>
    </r>
  </si>
  <si>
    <t>t=60/N</t>
  </si>
  <si>
    <r>
      <rPr>
        <sz val="11"/>
        <color theme="1"/>
        <rFont val="宋体"/>
        <charset val="134"/>
      </rPr>
      <t>静止时间</t>
    </r>
    <r>
      <rPr>
        <sz val="11"/>
        <color theme="1"/>
        <rFont val="Tahoma"/>
        <charset val="134"/>
      </rPr>
      <t>t4(s)</t>
    </r>
  </si>
  <si>
    <r>
      <rPr>
        <sz val="11"/>
        <color theme="1"/>
        <rFont val="宋体"/>
        <charset val="134"/>
      </rPr>
      <t>轴向游隙</t>
    </r>
    <r>
      <rPr>
        <sz val="11"/>
        <color theme="1"/>
        <rFont val="Tahoma"/>
        <charset val="134"/>
      </rPr>
      <t>Ly(mm)</t>
    </r>
  </si>
  <si>
    <t>即无效行程</t>
  </si>
  <si>
    <r>
      <rPr>
        <sz val="11"/>
        <color theme="1"/>
        <rFont val="宋体"/>
        <charset val="134"/>
      </rPr>
      <t>反复定位精度</t>
    </r>
    <r>
      <rPr>
        <sz val="11"/>
        <color theme="1"/>
        <rFont val="Tahoma"/>
        <charset val="134"/>
      </rPr>
      <t>Lj(±mm)</t>
    </r>
  </si>
  <si>
    <r>
      <rPr>
        <sz val="11"/>
        <color theme="1"/>
        <rFont val="宋体"/>
        <charset val="134"/>
      </rPr>
      <t>导轨摩擦系数</t>
    </r>
    <r>
      <rPr>
        <sz val="11"/>
        <color theme="1"/>
        <rFont val="Tahoma"/>
        <charset val="134"/>
      </rPr>
      <t>μ</t>
    </r>
  </si>
  <si>
    <r>
      <rPr>
        <sz val="11"/>
        <color theme="1"/>
        <rFont val="宋体"/>
        <charset val="134"/>
      </rPr>
      <t>表</t>
    </r>
    <r>
      <rPr>
        <sz val="11"/>
        <color theme="1"/>
        <rFont val="Tahoma"/>
        <charset val="134"/>
      </rPr>
      <t>1 THK</t>
    </r>
    <r>
      <rPr>
        <sz val="11"/>
        <color theme="1"/>
        <rFont val="宋体"/>
        <charset val="134"/>
      </rPr>
      <t>丝杆导程精度</t>
    </r>
    <r>
      <rPr>
        <sz val="11"/>
        <color theme="1"/>
        <rFont val="Tahoma"/>
        <charset val="134"/>
      </rPr>
      <t>(</t>
    </r>
    <r>
      <rPr>
        <sz val="11"/>
        <color theme="1"/>
        <rFont val="宋体"/>
        <charset val="134"/>
      </rPr>
      <t>单位</t>
    </r>
    <r>
      <rPr>
        <sz val="11"/>
        <color theme="1"/>
        <rFont val="Tahoma"/>
        <charset val="134"/>
      </rPr>
      <t>um)</t>
    </r>
  </si>
  <si>
    <r>
      <rPr>
        <sz val="11"/>
        <color theme="1"/>
        <rFont val="宋体"/>
        <charset val="134"/>
      </rPr>
      <t>注：</t>
    </r>
    <r>
      <rPr>
        <sz val="11"/>
        <color theme="1"/>
        <rFont val="Tahoma"/>
        <charset val="134"/>
      </rPr>
      <t>1mm=1000um</t>
    </r>
  </si>
  <si>
    <t>外力f(N)</t>
  </si>
  <si>
    <r>
      <rPr>
        <sz val="11"/>
        <color theme="1"/>
        <rFont val="宋体"/>
        <charset val="134"/>
      </rPr>
      <t>倾斜角</t>
    </r>
    <r>
      <rPr>
        <sz val="11"/>
        <color theme="1"/>
        <rFont val="Tahoma"/>
        <charset val="134"/>
      </rPr>
      <t>θ(°</t>
    </r>
    <r>
      <rPr>
        <sz val="11"/>
        <color theme="1"/>
        <rFont val="Tahoma"/>
        <charset val="134"/>
      </rPr>
      <t>)</t>
    </r>
  </si>
  <si>
    <t>水平0,竖直90</t>
  </si>
  <si>
    <r>
      <rPr>
        <sz val="11"/>
        <color theme="1"/>
        <rFont val="宋体"/>
        <charset val="134"/>
      </rPr>
      <t>减速比</t>
    </r>
    <r>
      <rPr>
        <sz val="11"/>
        <color theme="1"/>
        <rFont val="Tahoma"/>
        <charset val="134"/>
      </rPr>
      <t>i</t>
    </r>
  </si>
  <si>
    <t>无减速机时填1</t>
  </si>
  <si>
    <r>
      <rPr>
        <sz val="11"/>
        <color theme="1"/>
        <rFont val="宋体"/>
        <charset val="134"/>
      </rPr>
      <t>丝杆传动效率</t>
    </r>
    <r>
      <rPr>
        <sz val="11"/>
        <color theme="1"/>
        <rFont val="Tahoma"/>
        <charset val="134"/>
      </rPr>
      <t>η</t>
    </r>
  </si>
  <si>
    <r>
      <rPr>
        <sz val="11"/>
        <color theme="1"/>
        <rFont val="Tahoma"/>
        <charset val="134"/>
      </rPr>
      <t>1</t>
    </r>
    <r>
      <rPr>
        <sz val="11"/>
        <color theme="1"/>
        <rFont val="宋体"/>
        <charset val="134"/>
      </rPr>
      <t>，精度选择</t>
    </r>
  </si>
  <si>
    <r>
      <rPr>
        <sz val="11"/>
        <color theme="1"/>
        <rFont val="宋体"/>
        <charset val="134"/>
      </rPr>
      <t>定位精度转换</t>
    </r>
    <r>
      <rPr>
        <sz val="11"/>
        <color theme="1"/>
        <rFont val="Tahoma"/>
        <charset val="134"/>
      </rPr>
      <t>Lj(±mm)</t>
    </r>
  </si>
  <si>
    <t>丝杆精度选择</t>
  </si>
  <si>
    <t>C10</t>
  </si>
  <si>
    <t>丝杆类型</t>
  </si>
  <si>
    <t>轧制丝杆</t>
  </si>
  <si>
    <r>
      <rPr>
        <sz val="11"/>
        <color theme="1"/>
        <rFont val="Tahoma"/>
        <charset val="134"/>
      </rPr>
      <t>2</t>
    </r>
    <r>
      <rPr>
        <sz val="11"/>
        <color theme="1"/>
        <rFont val="宋体"/>
        <charset val="134"/>
      </rPr>
      <t>，由速度和游隙初选丝杆直径和导程</t>
    </r>
  </si>
  <si>
    <r>
      <rPr>
        <sz val="11"/>
        <color theme="1"/>
        <rFont val="宋体"/>
        <charset val="134"/>
      </rPr>
      <t>最大线速</t>
    </r>
    <r>
      <rPr>
        <sz val="11"/>
        <color theme="1"/>
        <rFont val="Tahoma"/>
        <charset val="134"/>
      </rPr>
      <t>Vmax(m/min)</t>
    </r>
  </si>
  <si>
    <r>
      <rPr>
        <sz val="11"/>
        <color theme="1"/>
        <rFont val="宋体"/>
        <charset val="134"/>
      </rPr>
      <t>电机额定转速</t>
    </r>
    <r>
      <rPr>
        <sz val="11"/>
        <color theme="1"/>
        <rFont val="Tahoma"/>
        <charset val="134"/>
      </rPr>
      <t>n0(r/min)</t>
    </r>
  </si>
  <si>
    <r>
      <rPr>
        <sz val="11"/>
        <color theme="1"/>
        <rFont val="宋体"/>
        <charset val="134"/>
      </rPr>
      <t>伺服电机为</t>
    </r>
    <r>
      <rPr>
        <sz val="11"/>
        <color theme="1"/>
        <rFont val="Tahoma"/>
        <charset val="134"/>
      </rPr>
      <t>3000</t>
    </r>
  </si>
  <si>
    <r>
      <rPr>
        <sz val="11"/>
        <color theme="1"/>
        <rFont val="宋体"/>
        <charset val="134"/>
      </rPr>
      <t>丝杆转速</t>
    </r>
    <r>
      <rPr>
        <sz val="11"/>
        <color theme="1"/>
        <rFont val="Tahoma"/>
        <charset val="134"/>
      </rPr>
      <t>n(r/min)</t>
    </r>
  </si>
  <si>
    <t>n=n0/i</t>
  </si>
  <si>
    <r>
      <rPr>
        <sz val="11"/>
        <color theme="1"/>
        <rFont val="宋体"/>
        <charset val="134"/>
      </rPr>
      <t>丝杆最小导程</t>
    </r>
    <r>
      <rPr>
        <sz val="11"/>
        <color theme="1"/>
        <rFont val="Tahoma"/>
        <charset val="134"/>
      </rPr>
      <t>Bpmin(mm)</t>
    </r>
  </si>
  <si>
    <r>
      <rPr>
        <sz val="11"/>
        <color theme="1"/>
        <rFont val="Tahoma"/>
        <charset val="134"/>
      </rPr>
      <t>Bp=Vmax/n(</t>
    </r>
    <r>
      <rPr>
        <sz val="11"/>
        <color theme="1"/>
        <rFont val="宋体"/>
        <charset val="134"/>
      </rPr>
      <t>注意单位</t>
    </r>
    <r>
      <rPr>
        <sz val="11"/>
        <color theme="1"/>
        <rFont val="Tahoma"/>
        <charset val="134"/>
      </rPr>
      <t>)</t>
    </r>
  </si>
  <si>
    <r>
      <rPr>
        <sz val="11"/>
        <color theme="1"/>
        <rFont val="宋体"/>
        <charset val="134"/>
      </rPr>
      <t>丝杆最大直径</t>
    </r>
    <r>
      <rPr>
        <sz val="11"/>
        <color theme="1"/>
        <rFont val="Tahoma"/>
        <charset val="134"/>
      </rPr>
      <t>Dmax(mm)</t>
    </r>
  </si>
  <si>
    <r>
      <rPr>
        <sz val="11"/>
        <color theme="1"/>
        <rFont val="宋体"/>
        <charset val="134"/>
      </rPr>
      <t>初选丝杆直径</t>
    </r>
    <r>
      <rPr>
        <sz val="11"/>
        <color theme="1"/>
        <rFont val="Tahoma"/>
        <charset val="134"/>
      </rPr>
      <t>D(mm)</t>
    </r>
  </si>
  <si>
    <r>
      <rPr>
        <sz val="11"/>
        <color theme="1"/>
        <rFont val="宋体"/>
        <charset val="134"/>
      </rPr>
      <t>初选丝杆导程</t>
    </r>
    <r>
      <rPr>
        <sz val="11"/>
        <color theme="1"/>
        <rFont val="Tahoma"/>
        <charset val="134"/>
      </rPr>
      <t>Bp(mm)</t>
    </r>
  </si>
  <si>
    <r>
      <rPr>
        <sz val="11"/>
        <color theme="1"/>
        <rFont val="宋体"/>
        <charset val="134"/>
      </rPr>
      <t>丝杆沟槽谷径</t>
    </r>
    <r>
      <rPr>
        <sz val="11"/>
        <color theme="1"/>
        <rFont val="Tahoma"/>
        <charset val="134"/>
      </rPr>
      <t>Dr(mm)</t>
    </r>
  </si>
  <si>
    <r>
      <rPr>
        <sz val="11"/>
        <color theme="1"/>
        <rFont val="宋体"/>
        <charset val="134"/>
      </rPr>
      <t>钢球中心直径</t>
    </r>
    <r>
      <rPr>
        <sz val="11"/>
        <color theme="1"/>
        <rFont val="Tahoma"/>
        <charset val="134"/>
      </rPr>
      <t>Dn(mm)</t>
    </r>
  </si>
  <si>
    <r>
      <rPr>
        <sz val="11"/>
        <color theme="1"/>
        <rFont val="Tahoma"/>
        <charset val="134"/>
      </rPr>
      <t>3</t>
    </r>
    <r>
      <rPr>
        <sz val="11"/>
        <color theme="1"/>
        <rFont val="宋体"/>
        <charset val="134"/>
      </rPr>
      <t>，确定安装方向及系数</t>
    </r>
  </si>
  <si>
    <t>安装方法</t>
  </si>
  <si>
    <t>支撑—支撑</t>
  </si>
  <si>
    <t>多为固定—支撑</t>
  </si>
  <si>
    <t>轴承安装距离La(mm)</t>
  </si>
  <si>
    <t>建议行程+200</t>
  </si>
  <si>
    <t>λ1</t>
  </si>
  <si>
    <t>λ2</t>
  </si>
  <si>
    <t>η1</t>
  </si>
  <si>
    <r>
      <rPr>
        <sz val="11"/>
        <color theme="1"/>
        <rFont val="宋体"/>
        <charset val="134"/>
      </rPr>
      <t>表</t>
    </r>
    <r>
      <rPr>
        <sz val="11"/>
        <color theme="1"/>
        <rFont val="Tahoma"/>
        <charset val="134"/>
      </rPr>
      <t>2 THK</t>
    </r>
    <r>
      <rPr>
        <sz val="11"/>
        <color theme="1"/>
        <rFont val="宋体"/>
        <charset val="134"/>
      </rPr>
      <t>丝杆外径对于轴向游隙</t>
    </r>
  </si>
  <si>
    <r>
      <rPr>
        <sz val="11"/>
        <color theme="1"/>
        <rFont val="宋体"/>
        <charset val="134"/>
      </rPr>
      <t>表</t>
    </r>
    <r>
      <rPr>
        <sz val="11"/>
        <color theme="1"/>
        <rFont val="Tahoma"/>
        <charset val="134"/>
      </rPr>
      <t>3 THK</t>
    </r>
    <r>
      <rPr>
        <sz val="11"/>
        <color theme="1"/>
        <rFont val="宋体"/>
        <charset val="134"/>
      </rPr>
      <t>轧制丝杆直径与导程标准组合</t>
    </r>
  </si>
  <si>
    <r>
      <rPr>
        <sz val="11"/>
        <color theme="1"/>
        <rFont val="Tahoma"/>
        <charset val="134"/>
      </rPr>
      <t>THK</t>
    </r>
    <r>
      <rPr>
        <sz val="11"/>
        <color theme="1"/>
        <rFont val="宋体"/>
        <charset val="134"/>
      </rPr>
      <t>精密丝杆直径与导程标准组合</t>
    </r>
  </si>
  <si>
    <t>η2</t>
  </si>
  <si>
    <r>
      <rPr>
        <sz val="11"/>
        <color theme="1"/>
        <rFont val="Tahoma"/>
        <charset val="134"/>
      </rPr>
      <t>4</t>
    </r>
    <r>
      <rPr>
        <sz val="11"/>
        <color theme="1"/>
        <rFont val="宋体"/>
        <charset val="134"/>
      </rPr>
      <t>，校核拉力</t>
    </r>
  </si>
  <si>
    <r>
      <rPr>
        <sz val="11"/>
        <color theme="1"/>
        <rFont val="宋体"/>
        <charset val="134"/>
      </rPr>
      <t>最大轴向拉力</t>
    </r>
    <r>
      <rPr>
        <sz val="11"/>
        <color theme="1"/>
        <rFont val="Tahoma"/>
        <charset val="134"/>
      </rPr>
      <t>F(N)</t>
    </r>
  </si>
  <si>
    <t>mg(sinθ+μcosθ)+ma+f</t>
  </si>
  <si>
    <r>
      <rPr>
        <sz val="11"/>
        <color theme="1"/>
        <rFont val="宋体"/>
        <charset val="134"/>
      </rPr>
      <t>丝杆最大允许拉力</t>
    </r>
    <r>
      <rPr>
        <sz val="11"/>
        <color theme="1"/>
        <rFont val="Tahoma"/>
        <charset val="134"/>
      </rPr>
      <t>[F](N)</t>
    </r>
  </si>
  <si>
    <r>
      <rPr>
        <sz val="11"/>
        <color theme="1"/>
        <rFont val="Tahoma"/>
        <charset val="134"/>
      </rPr>
      <t>10</t>
    </r>
    <r>
      <rPr>
        <vertAlign val="superscript"/>
        <sz val="12"/>
        <color theme="1"/>
        <rFont val="Tahoma"/>
        <charset val="134"/>
      </rPr>
      <t>4</t>
    </r>
    <r>
      <rPr>
        <sz val="11"/>
        <color theme="1"/>
        <rFont val="Tahoma"/>
        <charset val="134"/>
      </rPr>
      <t>*η2*Dr</t>
    </r>
    <r>
      <rPr>
        <vertAlign val="superscript"/>
        <sz val="12"/>
        <color theme="1"/>
        <rFont val="Tahoma"/>
        <charset val="134"/>
      </rPr>
      <t>4</t>
    </r>
    <r>
      <rPr>
        <sz val="11"/>
        <color theme="1"/>
        <rFont val="Tahoma"/>
        <charset val="134"/>
      </rPr>
      <t>/La</t>
    </r>
    <r>
      <rPr>
        <vertAlign val="superscript"/>
        <sz val="12"/>
        <color theme="1"/>
        <rFont val="Tahoma"/>
        <charset val="134"/>
      </rPr>
      <t>2</t>
    </r>
  </si>
  <si>
    <r>
      <rPr>
        <sz val="11"/>
        <color theme="1"/>
        <rFont val="Tahoma"/>
        <charset val="134"/>
      </rPr>
      <t>5</t>
    </r>
    <r>
      <rPr>
        <sz val="11"/>
        <color theme="1"/>
        <rFont val="宋体"/>
        <charset val="134"/>
      </rPr>
      <t>，校核转速</t>
    </r>
  </si>
  <si>
    <r>
      <rPr>
        <sz val="11"/>
        <color theme="1"/>
        <rFont val="宋体"/>
        <charset val="134"/>
      </rPr>
      <t>丝杆实际最高转速</t>
    </r>
    <r>
      <rPr>
        <sz val="11"/>
        <color theme="1"/>
        <rFont val="Tahoma"/>
        <charset val="134"/>
      </rPr>
      <t>n1(r/min)</t>
    </r>
  </si>
  <si>
    <r>
      <rPr>
        <sz val="11"/>
        <color theme="1"/>
        <rFont val="Tahoma"/>
        <charset val="134"/>
      </rPr>
      <t>n1=Vmax/Bp(</t>
    </r>
    <r>
      <rPr>
        <sz val="11"/>
        <color theme="1"/>
        <rFont val="宋体"/>
        <charset val="134"/>
      </rPr>
      <t>注意单位</t>
    </r>
    <r>
      <rPr>
        <sz val="11"/>
        <color theme="1"/>
        <rFont val="Tahoma"/>
        <charset val="134"/>
      </rPr>
      <t>)</t>
    </r>
  </si>
  <si>
    <r>
      <rPr>
        <sz val="11"/>
        <color theme="1"/>
        <rFont val="宋体"/>
        <charset val="134"/>
      </rPr>
      <t>临界危险转速</t>
    </r>
    <r>
      <rPr>
        <sz val="11"/>
        <color theme="1"/>
        <rFont val="Tahoma"/>
        <charset val="134"/>
      </rPr>
      <t>[N1](r/min)</t>
    </r>
  </si>
  <si>
    <r>
      <rPr>
        <sz val="11"/>
        <color theme="1"/>
        <rFont val="Tahoma"/>
        <charset val="134"/>
      </rPr>
      <t>10</t>
    </r>
    <r>
      <rPr>
        <vertAlign val="superscript"/>
        <sz val="12"/>
        <color theme="1"/>
        <rFont val="Tahoma"/>
        <charset val="134"/>
      </rPr>
      <t>7</t>
    </r>
    <r>
      <rPr>
        <sz val="11"/>
        <color theme="1"/>
        <rFont val="Tahoma"/>
        <charset val="134"/>
      </rPr>
      <t>*λ2*Dr/La</t>
    </r>
    <r>
      <rPr>
        <vertAlign val="superscript"/>
        <sz val="12"/>
        <color theme="1"/>
        <rFont val="Tahoma"/>
        <charset val="134"/>
      </rPr>
      <t>2</t>
    </r>
  </si>
  <si>
    <r>
      <rPr>
        <sz val="11"/>
        <color theme="1"/>
        <rFont val="宋体"/>
        <charset val="134"/>
      </rPr>
      <t>表</t>
    </r>
    <r>
      <rPr>
        <sz val="11"/>
        <color theme="1"/>
        <rFont val="Tahoma"/>
        <charset val="134"/>
      </rPr>
      <t>4 THK</t>
    </r>
    <r>
      <rPr>
        <sz val="11"/>
        <color theme="1"/>
        <rFont val="宋体"/>
        <charset val="134"/>
      </rPr>
      <t>丝杆螺母负载系数</t>
    </r>
    <r>
      <rPr>
        <sz val="11"/>
        <color theme="1"/>
        <rFont val="Tahoma"/>
        <charset val="134"/>
      </rPr>
      <t>fw</t>
    </r>
  </si>
  <si>
    <r>
      <rPr>
        <sz val="11"/>
        <color theme="1"/>
        <rFont val="Tahoma"/>
        <charset val="134"/>
      </rPr>
      <t>Dn</t>
    </r>
    <r>
      <rPr>
        <sz val="11"/>
        <color theme="1"/>
        <rFont val="宋体"/>
        <charset val="134"/>
      </rPr>
      <t>值决定的容许转速</t>
    </r>
    <r>
      <rPr>
        <sz val="11"/>
        <color theme="1"/>
        <rFont val="Tahoma"/>
        <charset val="134"/>
      </rPr>
      <t>[N2](r/min)</t>
    </r>
  </si>
  <si>
    <r>
      <rPr>
        <sz val="11"/>
        <color theme="1"/>
        <rFont val="Tahoma"/>
        <charset val="134"/>
      </rPr>
      <t>10</t>
    </r>
    <r>
      <rPr>
        <vertAlign val="superscript"/>
        <sz val="12"/>
        <color theme="1"/>
        <rFont val="Tahoma"/>
        <charset val="134"/>
      </rPr>
      <t>4</t>
    </r>
    <r>
      <rPr>
        <sz val="11"/>
        <color theme="1"/>
        <rFont val="Tahoma"/>
        <charset val="134"/>
      </rPr>
      <t>/Dn</t>
    </r>
  </si>
  <si>
    <r>
      <rPr>
        <sz val="11"/>
        <color theme="1"/>
        <rFont val="宋体"/>
        <charset val="134"/>
      </rPr>
      <t>最大容许转速</t>
    </r>
    <r>
      <rPr>
        <sz val="11"/>
        <color theme="1"/>
        <rFont val="Tahoma"/>
        <charset val="134"/>
      </rPr>
      <t>[N](r/min)</t>
    </r>
  </si>
  <si>
    <t>min{[N1],[N2]}</t>
  </si>
  <si>
    <r>
      <rPr>
        <sz val="11"/>
        <color theme="1"/>
        <rFont val="Tahoma"/>
        <charset val="134"/>
      </rPr>
      <t>6</t>
    </r>
    <r>
      <rPr>
        <sz val="11"/>
        <color theme="1"/>
        <rFont val="宋体"/>
        <charset val="134"/>
      </rPr>
      <t>，丝杆型号</t>
    </r>
  </si>
  <si>
    <r>
      <rPr>
        <sz val="11"/>
        <color theme="1"/>
        <rFont val="宋体"/>
        <charset val="134"/>
      </rPr>
      <t>丝杆直径</t>
    </r>
    <r>
      <rPr>
        <sz val="11"/>
        <color theme="1"/>
        <rFont val="Tahoma"/>
        <charset val="134"/>
      </rPr>
      <t>D(mm)</t>
    </r>
  </si>
  <si>
    <r>
      <rPr>
        <sz val="11"/>
        <color theme="1"/>
        <rFont val="宋体"/>
        <charset val="134"/>
      </rPr>
      <t>丝杆导程</t>
    </r>
    <r>
      <rPr>
        <sz val="11"/>
        <color theme="1"/>
        <rFont val="Tahoma"/>
        <charset val="134"/>
      </rPr>
      <t>Bp(mm)</t>
    </r>
  </si>
  <si>
    <t>丝杆型号</t>
  </si>
  <si>
    <t>BLW 2020-3.6</t>
  </si>
  <si>
    <r>
      <rPr>
        <sz val="11"/>
        <color theme="1"/>
        <rFont val="Tahoma"/>
        <charset val="134"/>
      </rPr>
      <t>7</t>
    </r>
    <r>
      <rPr>
        <sz val="11"/>
        <color theme="1"/>
        <rFont val="宋体"/>
        <charset val="134"/>
      </rPr>
      <t>，螺母初选与校核</t>
    </r>
  </si>
  <si>
    <t>螺母初选型号</t>
  </si>
  <si>
    <t>WTF2040-2</t>
  </si>
  <si>
    <r>
      <rPr>
        <sz val="11"/>
        <color theme="1"/>
        <rFont val="宋体"/>
        <charset val="134"/>
      </rPr>
      <t>螺母额定动载荷</t>
    </r>
    <r>
      <rPr>
        <sz val="11"/>
        <color theme="1"/>
        <rFont val="Tahoma"/>
        <charset val="134"/>
      </rPr>
      <t>Ca(kN)</t>
    </r>
  </si>
  <si>
    <r>
      <rPr>
        <sz val="11"/>
        <color theme="1"/>
        <rFont val="宋体"/>
        <charset val="134"/>
      </rPr>
      <t>表</t>
    </r>
    <r>
      <rPr>
        <sz val="11"/>
        <color theme="1"/>
        <rFont val="Tahoma"/>
        <charset val="134"/>
      </rPr>
      <t xml:space="preserve">5 </t>
    </r>
    <r>
      <rPr>
        <sz val="11"/>
        <color theme="1"/>
        <rFont val="宋体"/>
        <charset val="134"/>
      </rPr>
      <t>螺母静安全系数</t>
    </r>
    <r>
      <rPr>
        <sz val="11"/>
        <color theme="1"/>
        <rFont val="Tahoma"/>
        <charset val="134"/>
      </rPr>
      <t>fs</t>
    </r>
  </si>
  <si>
    <r>
      <rPr>
        <sz val="11"/>
        <color theme="1"/>
        <rFont val="宋体"/>
        <charset val="134"/>
      </rPr>
      <t>螺母额定静载荷</t>
    </r>
    <r>
      <rPr>
        <sz val="11"/>
        <color theme="1"/>
        <rFont val="Tahoma"/>
        <charset val="134"/>
      </rPr>
      <t>Ca0(kN)</t>
    </r>
  </si>
  <si>
    <t>机器类型</t>
  </si>
  <si>
    <t>fs最小值</t>
  </si>
  <si>
    <t>螺母静安全系数</t>
  </si>
  <si>
    <r>
      <rPr>
        <sz val="11"/>
        <color theme="1"/>
        <rFont val="宋体"/>
        <charset val="134"/>
      </rPr>
      <t>表</t>
    </r>
    <r>
      <rPr>
        <sz val="11"/>
        <color theme="1"/>
        <rFont val="Tahoma"/>
        <charset val="134"/>
      </rPr>
      <t>5</t>
    </r>
  </si>
  <si>
    <t>普通机械</t>
  </si>
  <si>
    <t>无冲击振动时</t>
  </si>
  <si>
    <t>1.0--1.3</t>
  </si>
  <si>
    <r>
      <rPr>
        <sz val="11"/>
        <color theme="1"/>
        <rFont val="宋体"/>
        <charset val="134"/>
      </rPr>
      <t>螺母容许轴向载荷</t>
    </r>
    <r>
      <rPr>
        <sz val="11"/>
        <color theme="1"/>
        <rFont val="Tahoma"/>
        <charset val="134"/>
      </rPr>
      <t>[C](N)</t>
    </r>
  </si>
  <si>
    <t>有冲击振动时</t>
  </si>
  <si>
    <t>2.0--3.0</t>
  </si>
  <si>
    <t>机床</t>
  </si>
  <si>
    <t>1.0--1.5</t>
  </si>
  <si>
    <r>
      <rPr>
        <sz val="11"/>
        <color theme="1"/>
        <rFont val="Tahoma"/>
        <charset val="134"/>
      </rPr>
      <t>8</t>
    </r>
    <r>
      <rPr>
        <sz val="11"/>
        <color theme="1"/>
        <rFont val="宋体"/>
        <charset val="134"/>
      </rPr>
      <t>，螺母寿命计算</t>
    </r>
  </si>
  <si>
    <t>2.5--7.0</t>
  </si>
  <si>
    <r>
      <rPr>
        <sz val="11"/>
        <color theme="1"/>
        <rFont val="宋体"/>
        <charset val="134"/>
      </rPr>
      <t>平均转速</t>
    </r>
    <r>
      <rPr>
        <sz val="11"/>
        <color theme="1"/>
        <rFont val="Tahoma"/>
        <charset val="134"/>
      </rPr>
      <t>n(r/min)</t>
    </r>
  </si>
  <si>
    <t>去路加速时拉力F1(N)</t>
  </si>
  <si>
    <r>
      <rPr>
        <sz val="11"/>
        <color theme="1"/>
        <rFont val="宋体"/>
        <charset val="134"/>
      </rPr>
      <t>表6</t>
    </r>
    <r>
      <rPr>
        <sz val="11"/>
        <color theme="1"/>
        <rFont val="Tahoma"/>
        <charset val="134"/>
      </rPr>
      <t xml:space="preserve"> THK</t>
    </r>
    <r>
      <rPr>
        <sz val="11"/>
        <color theme="1"/>
        <rFont val="宋体"/>
        <charset val="134"/>
      </rPr>
      <t>丝杆尺寸截图</t>
    </r>
  </si>
  <si>
    <t>去路等速时拉力F2(N)</t>
  </si>
  <si>
    <t>mg(sinθ+μcosθ)+f</t>
  </si>
  <si>
    <t>去路减速时拉力F3(N)</t>
  </si>
  <si>
    <t>mg(sinθ+μcosθ)-ma+f</t>
  </si>
  <si>
    <t>返程加速时拉力F5(N)</t>
  </si>
  <si>
    <t>mg(sinθ+μcosθ)+ma-f</t>
  </si>
  <si>
    <t>返程等速时拉力F6(N)</t>
  </si>
  <si>
    <t>mg(sinθ+μcosθ)-f</t>
  </si>
  <si>
    <t>返程减速时拉力F7(N)</t>
  </si>
  <si>
    <t>mg(sinθ+μcosθ)-ma-f</t>
  </si>
  <si>
    <t>去返加速距离L1=L3=L5=L7(mm)</t>
  </si>
  <si>
    <t>匀速运动距离L2=L6(mm)</t>
  </si>
  <si>
    <r>
      <rPr>
        <sz val="11"/>
        <color theme="1"/>
        <rFont val="宋体"/>
        <charset val="134"/>
      </rPr>
      <t>去路平均负载</t>
    </r>
    <r>
      <rPr>
        <sz val="11"/>
        <color theme="1"/>
        <rFont val="Tahoma"/>
        <charset val="134"/>
      </rPr>
      <t>Fm1</t>
    </r>
  </si>
  <si>
    <r>
      <rPr>
        <sz val="11"/>
        <color theme="1"/>
        <rFont val="宋体"/>
        <charset val="134"/>
      </rPr>
      <t>返程平均负载</t>
    </r>
    <r>
      <rPr>
        <sz val="11"/>
        <color theme="1"/>
        <rFont val="Tahoma"/>
        <charset val="134"/>
      </rPr>
      <t>Fm2</t>
    </r>
  </si>
  <si>
    <r>
      <rPr>
        <sz val="11"/>
        <color theme="1"/>
        <rFont val="宋体"/>
        <charset val="134"/>
      </rPr>
      <t>取平均负载较大值</t>
    </r>
    <r>
      <rPr>
        <sz val="11"/>
        <color theme="1"/>
        <rFont val="Tahoma"/>
        <charset val="134"/>
      </rPr>
      <t>Fm</t>
    </r>
  </si>
  <si>
    <r>
      <rPr>
        <sz val="11"/>
        <color theme="1"/>
        <rFont val="宋体"/>
        <charset val="134"/>
      </rPr>
      <t>负载系数</t>
    </r>
    <r>
      <rPr>
        <sz val="11"/>
        <color theme="1"/>
        <rFont val="Tahoma"/>
        <charset val="134"/>
      </rPr>
      <t>fw</t>
    </r>
  </si>
  <si>
    <r>
      <rPr>
        <sz val="11"/>
        <color theme="1"/>
        <rFont val="宋体"/>
        <charset val="134"/>
      </rPr>
      <t>额定转数寿命</t>
    </r>
    <r>
      <rPr>
        <sz val="11"/>
        <color theme="1"/>
        <rFont val="Tahoma"/>
        <charset val="134"/>
      </rPr>
      <t>Lr(</t>
    </r>
    <r>
      <rPr>
        <sz val="11"/>
        <color theme="1"/>
        <rFont val="宋体"/>
        <charset val="134"/>
      </rPr>
      <t>转</t>
    </r>
    <r>
      <rPr>
        <sz val="11"/>
        <color theme="1"/>
        <rFont val="Tahoma"/>
        <charset val="134"/>
      </rPr>
      <t>)</t>
    </r>
  </si>
  <si>
    <r>
      <rPr>
        <sz val="11"/>
        <color theme="1"/>
        <rFont val="Tahoma"/>
        <charset val="134"/>
      </rPr>
      <t>Lr=(Ca/(fw*Fm))</t>
    </r>
    <r>
      <rPr>
        <vertAlign val="superscript"/>
        <sz val="12"/>
        <color theme="1"/>
        <rFont val="宋体"/>
        <charset val="134"/>
      </rPr>
      <t>3</t>
    </r>
    <r>
      <rPr>
        <sz val="11"/>
        <color theme="1"/>
        <rFont val="宋体"/>
        <charset val="134"/>
      </rPr>
      <t>*10</t>
    </r>
    <r>
      <rPr>
        <vertAlign val="superscript"/>
        <sz val="12"/>
        <color theme="1"/>
        <rFont val="宋体"/>
        <charset val="134"/>
      </rPr>
      <t>6</t>
    </r>
  </si>
  <si>
    <r>
      <rPr>
        <sz val="11"/>
        <color theme="1"/>
        <rFont val="宋体"/>
        <charset val="134"/>
      </rPr>
      <t>额定时间寿命</t>
    </r>
    <r>
      <rPr>
        <sz val="11"/>
        <color theme="1"/>
        <rFont val="Tahoma"/>
        <charset val="134"/>
      </rPr>
      <t>[Lh](h)</t>
    </r>
  </si>
  <si>
    <t>螺母型号</t>
  </si>
  <si>
    <r>
      <rPr>
        <sz val="11"/>
        <color theme="1"/>
        <rFont val="Tahoma"/>
        <charset val="134"/>
      </rPr>
      <t>9</t>
    </r>
    <r>
      <rPr>
        <sz val="11"/>
        <color theme="1"/>
        <rFont val="宋体"/>
        <charset val="134"/>
      </rPr>
      <t>，伺服电机选型</t>
    </r>
  </si>
  <si>
    <r>
      <rPr>
        <sz val="11"/>
        <color theme="1"/>
        <rFont val="宋体"/>
        <charset val="134"/>
      </rPr>
      <t>见《步进伺服电机选型向导》</t>
    </r>
  </si>
  <si>
    <r>
      <rPr>
        <sz val="11"/>
        <color theme="1"/>
        <rFont val="宋体"/>
        <charset val="134"/>
      </rPr>
      <t>说明：</t>
    </r>
    <r>
      <rPr>
        <sz val="11"/>
        <color theme="1"/>
        <rFont val="Tahoma"/>
        <charset val="134"/>
      </rPr>
      <t xml:space="preserve"> 
    1</t>
    </r>
    <r>
      <rPr>
        <sz val="11"/>
        <color theme="1"/>
        <rFont val="宋体"/>
        <charset val="134"/>
      </rPr>
      <t xml:space="preserve">，滚珠丝杆具有以下特点：
摩擦系数小，驱动扭矩小，效率高；
能保证高精度；
能微量进给；
没有无效行程、高刚性；
能高速进给。
</t>
    </r>
    <r>
      <rPr>
        <sz val="11"/>
        <color theme="1"/>
        <rFont val="Tahoma"/>
        <charset val="134"/>
      </rPr>
      <t xml:space="preserve">    2</t>
    </r>
    <r>
      <rPr>
        <sz val="11"/>
        <color theme="1"/>
        <rFont val="宋体"/>
        <charset val="134"/>
      </rPr>
      <t>，对丝杆选择主要考虑定位精度、极限转速、额定拉力；对螺母配对选择主要考虑额定静载荷和使用寿命</t>
    </r>
    <r>
      <rPr>
        <sz val="11"/>
        <color theme="1"/>
        <rFont val="Tahoma"/>
        <charset val="134"/>
      </rPr>
      <t>(</t>
    </r>
    <r>
      <rPr>
        <sz val="11"/>
        <color theme="1"/>
        <rFont val="宋体"/>
        <charset val="134"/>
      </rPr>
      <t>动载荷</t>
    </r>
    <r>
      <rPr>
        <sz val="11"/>
        <color theme="1"/>
        <rFont val="Tahoma"/>
        <charset val="134"/>
      </rPr>
      <t>)</t>
    </r>
    <r>
      <rPr>
        <sz val="11"/>
        <color theme="1"/>
        <rFont val="宋体"/>
        <charset val="134"/>
      </rPr>
      <t>。</t>
    </r>
  </si>
  <si>
    <r>
      <rPr>
        <sz val="12"/>
        <color theme="1"/>
        <rFont val="宋体"/>
        <charset val="134"/>
      </rPr>
      <t>文档信息
编写：煜宸
参考：《丝杆选型计算》</t>
    </r>
    <r>
      <rPr>
        <sz val="12"/>
        <color theme="1"/>
        <rFont val="Tahoma"/>
        <charset val="134"/>
      </rPr>
      <t>——(</t>
    </r>
    <r>
      <rPr>
        <sz val="12"/>
        <color theme="1"/>
        <rFont val="宋体"/>
        <charset val="134"/>
      </rPr>
      <t>前桥教育</t>
    </r>
    <r>
      <rPr>
        <sz val="12"/>
        <color theme="1"/>
        <rFont val="Tahoma"/>
        <charset val="134"/>
      </rPr>
      <t xml:space="preserve">) </t>
    </r>
    <r>
      <rPr>
        <sz val="12"/>
        <color theme="1"/>
        <rFont val="宋体"/>
        <charset val="134"/>
      </rPr>
      <t xml:space="preserve">宣言
</t>
    </r>
    <r>
      <rPr>
        <sz val="12"/>
        <color theme="1"/>
        <rFont val="Tahoma"/>
        <charset val="134"/>
      </rPr>
      <t xml:space="preserve">          </t>
    </r>
    <r>
      <rPr>
        <sz val="12"/>
        <color theme="1"/>
        <rFont val="宋体"/>
        <charset val="134"/>
      </rPr>
      <t>《</t>
    </r>
    <r>
      <rPr>
        <sz val="12"/>
        <color theme="1"/>
        <rFont val="Tahoma"/>
        <charset val="134"/>
      </rPr>
      <t>THK</t>
    </r>
    <r>
      <rPr>
        <sz val="12"/>
        <color theme="1"/>
        <rFont val="宋体"/>
        <charset val="134"/>
      </rPr>
      <t>滚珠丝杆选型实例》</t>
    </r>
    <r>
      <rPr>
        <sz val="12"/>
        <color theme="1"/>
        <rFont val="Tahoma"/>
        <charset val="134"/>
      </rPr>
      <t xml:space="preserve">                                                                                                       
                                                                              2018.9.10   </t>
    </r>
  </si>
  <si>
    <t>步进/伺服电机选型向导合集</t>
  </si>
  <si>
    <t>电机或减速机直连负载时(如分度盘)</t>
  </si>
  <si>
    <t>表1 负载转动特性示意图</t>
  </si>
  <si>
    <r>
      <rPr>
        <sz val="11"/>
        <color theme="1"/>
        <rFont val="Tahoma"/>
        <charset val="134"/>
      </rPr>
      <t>1</t>
    </r>
    <r>
      <rPr>
        <sz val="11"/>
        <color theme="1"/>
        <rFont val="宋体"/>
        <charset val="134"/>
      </rPr>
      <t xml:space="preserve">，计算负载转
</t>
    </r>
    <r>
      <rPr>
        <sz val="11"/>
        <color theme="1"/>
        <rFont val="Tahoma"/>
        <charset val="134"/>
      </rPr>
      <t xml:space="preserve">     </t>
    </r>
    <r>
      <rPr>
        <sz val="11"/>
        <color theme="1"/>
        <rFont val="宋体"/>
        <charset val="134"/>
      </rPr>
      <t xml:space="preserve">速，判断是
</t>
    </r>
    <r>
      <rPr>
        <sz val="11"/>
        <color theme="1"/>
        <rFont val="Tahoma"/>
        <charset val="134"/>
      </rPr>
      <t xml:space="preserve">     </t>
    </r>
    <r>
      <rPr>
        <sz val="11"/>
        <color theme="1"/>
        <rFont val="宋体"/>
        <charset val="134"/>
      </rPr>
      <t xml:space="preserve">否可以使用
</t>
    </r>
    <r>
      <rPr>
        <sz val="11"/>
        <color theme="1"/>
        <rFont val="Tahoma"/>
        <charset val="134"/>
      </rPr>
      <t xml:space="preserve">     </t>
    </r>
    <r>
      <rPr>
        <sz val="11"/>
        <color theme="1"/>
        <rFont val="宋体"/>
        <charset val="134"/>
      </rPr>
      <t>步进</t>
    </r>
    <r>
      <rPr>
        <sz val="11"/>
        <color theme="1"/>
        <rFont val="Tahoma"/>
        <charset val="134"/>
      </rPr>
      <t>/</t>
    </r>
    <r>
      <rPr>
        <sz val="11"/>
        <color theme="1"/>
        <rFont val="宋体"/>
        <charset val="134"/>
      </rPr>
      <t>伺服</t>
    </r>
    <r>
      <rPr>
        <sz val="11"/>
        <color theme="1"/>
        <rFont val="Tahoma"/>
        <charset val="134"/>
      </rPr>
      <t xml:space="preserve"> 
     </t>
    </r>
    <r>
      <rPr>
        <sz val="11"/>
        <color theme="1"/>
        <rFont val="宋体"/>
        <charset val="134"/>
      </rPr>
      <t>电机</t>
    </r>
  </si>
  <si>
    <r>
      <rPr>
        <sz val="11"/>
        <color theme="1"/>
        <rFont val="宋体"/>
        <charset val="134"/>
      </rPr>
      <t>减速机减速比</t>
    </r>
    <r>
      <rPr>
        <sz val="11"/>
        <color theme="1"/>
        <rFont val="Tahoma"/>
        <charset val="134"/>
      </rPr>
      <t>i(</t>
    </r>
    <r>
      <rPr>
        <sz val="11"/>
        <color theme="1"/>
        <rFont val="宋体"/>
        <charset val="134"/>
      </rPr>
      <t>≥</t>
    </r>
    <r>
      <rPr>
        <sz val="11"/>
        <color theme="1"/>
        <rFont val="Tahoma"/>
        <charset val="134"/>
      </rPr>
      <t>1</t>
    </r>
    <r>
      <rPr>
        <sz val="11"/>
        <color theme="1"/>
        <rFont val="宋体"/>
        <charset val="134"/>
      </rPr>
      <t>直连为</t>
    </r>
    <r>
      <rPr>
        <sz val="11"/>
        <color theme="1"/>
        <rFont val="Tahoma"/>
        <charset val="134"/>
      </rPr>
      <t>1)</t>
    </r>
  </si>
  <si>
    <r>
      <rPr>
        <sz val="11"/>
        <color theme="1"/>
        <rFont val="宋体"/>
        <charset val="134"/>
      </rPr>
      <t>减速机效率</t>
    </r>
    <r>
      <rPr>
        <sz val="11"/>
        <color theme="1"/>
        <rFont val="Tahoma"/>
        <charset val="134"/>
      </rPr>
      <t xml:space="preserve"> η(</t>
    </r>
    <r>
      <rPr>
        <sz val="11"/>
        <color theme="1"/>
        <rFont val="宋体"/>
        <charset val="134"/>
      </rPr>
      <t>直连填</t>
    </r>
    <r>
      <rPr>
        <sz val="11"/>
        <color theme="1"/>
        <rFont val="Tahoma"/>
        <charset val="134"/>
      </rPr>
      <t>1)</t>
    </r>
  </si>
  <si>
    <t>每次转动角度θ(°)</t>
  </si>
  <si>
    <t>每次转动时间t(s)</t>
  </si>
  <si>
    <r>
      <rPr>
        <sz val="11"/>
        <color theme="1"/>
        <rFont val="宋体"/>
        <charset val="134"/>
      </rPr>
      <t>加速时间</t>
    </r>
    <r>
      <rPr>
        <sz val="11"/>
        <color theme="1"/>
        <rFont val="Tahoma"/>
        <charset val="134"/>
      </rPr>
      <t>t1(0.1~0.3s)</t>
    </r>
  </si>
  <si>
    <t>减速时间t3(s)</t>
  </si>
  <si>
    <r>
      <rPr>
        <sz val="11"/>
        <color theme="1"/>
        <rFont val="宋体"/>
        <charset val="134"/>
      </rPr>
      <t>表2</t>
    </r>
    <r>
      <rPr>
        <sz val="11"/>
        <color theme="1"/>
        <rFont val="Tahoma"/>
        <charset val="134"/>
      </rPr>
      <t xml:space="preserve"> </t>
    </r>
    <r>
      <rPr>
        <sz val="11"/>
        <color theme="1"/>
        <rFont val="宋体"/>
        <charset val="134"/>
      </rPr>
      <t>百格拉步进电机样本截图</t>
    </r>
  </si>
  <si>
    <r>
      <rPr>
        <sz val="11"/>
        <color theme="1"/>
        <rFont val="宋体"/>
        <charset val="134"/>
      </rPr>
      <t>负载最大转速</t>
    </r>
    <r>
      <rPr>
        <sz val="16"/>
        <color theme="1"/>
        <rFont val="Tahoma"/>
        <charset val="134"/>
      </rPr>
      <t>n</t>
    </r>
    <r>
      <rPr>
        <sz val="9"/>
        <color theme="1"/>
        <rFont val="Tahoma"/>
        <charset val="134"/>
      </rPr>
      <t>max</t>
    </r>
    <r>
      <rPr>
        <sz val="11"/>
        <color theme="1"/>
        <rFont val="Tahoma"/>
        <charset val="134"/>
      </rPr>
      <t>(r/min)</t>
    </r>
  </si>
  <si>
    <r>
      <rPr>
        <sz val="11"/>
        <color theme="1"/>
        <rFont val="宋体"/>
        <charset val="134"/>
      </rPr>
      <t>电机最大转速</t>
    </r>
    <r>
      <rPr>
        <sz val="16"/>
        <color theme="1"/>
        <rFont val="Tahoma"/>
        <charset val="134"/>
      </rPr>
      <t>n</t>
    </r>
    <r>
      <rPr>
        <sz val="11"/>
        <color theme="1"/>
        <rFont val="Tahoma"/>
        <charset val="134"/>
      </rPr>
      <t>0(r/min)</t>
    </r>
  </si>
  <si>
    <t>判断是否适用步进/伺服电机</t>
  </si>
  <si>
    <r>
      <rPr>
        <sz val="11"/>
        <color theme="1"/>
        <rFont val="Tahoma"/>
        <charset val="134"/>
      </rPr>
      <t>2</t>
    </r>
    <r>
      <rPr>
        <sz val="11"/>
        <color theme="1"/>
        <rFont val="宋体"/>
        <charset val="134"/>
      </rPr>
      <t xml:space="preserve">，确定步进电
</t>
    </r>
    <r>
      <rPr>
        <sz val="11"/>
        <color theme="1"/>
        <rFont val="Tahoma"/>
        <charset val="134"/>
      </rPr>
      <t xml:space="preserve">    </t>
    </r>
    <r>
      <rPr>
        <sz val="11"/>
        <color theme="1"/>
        <rFont val="宋体"/>
        <charset val="134"/>
      </rPr>
      <t>机细分精度</t>
    </r>
    <r>
      <rPr>
        <sz val="11"/>
        <color theme="1"/>
        <rFont val="Tahoma"/>
        <charset val="134"/>
      </rPr>
      <t>(</t>
    </r>
    <r>
      <rPr>
        <sz val="11"/>
        <color theme="1"/>
        <rFont val="宋体"/>
        <charset val="134"/>
      </rPr>
      <t>伺服电机不做</t>
    </r>
    <r>
      <rPr>
        <sz val="11"/>
        <color theme="1"/>
        <rFont val="Tahoma"/>
        <charset val="134"/>
      </rPr>
      <t>)</t>
    </r>
  </si>
  <si>
    <t>要求精度(±°)</t>
  </si>
  <si>
    <t>转动方向</t>
  </si>
  <si>
    <t>单向</t>
  </si>
  <si>
    <r>
      <rPr>
        <sz val="11"/>
        <color theme="1"/>
        <rFont val="宋体"/>
        <charset val="134"/>
      </rPr>
      <t>细分后最大步距角</t>
    </r>
    <r>
      <rPr>
        <sz val="11"/>
        <color theme="1"/>
        <rFont val="Tahoma"/>
        <charset val="134"/>
      </rPr>
      <t>β(°)</t>
    </r>
  </si>
  <si>
    <r>
      <rPr>
        <sz val="11"/>
        <color theme="1"/>
        <rFont val="宋体"/>
        <charset val="134"/>
      </rPr>
      <t>表</t>
    </r>
    <r>
      <rPr>
        <sz val="11"/>
        <color theme="1"/>
        <rFont val="Tahoma"/>
        <charset val="134"/>
      </rPr>
      <t xml:space="preserve">3 </t>
    </r>
    <r>
      <rPr>
        <sz val="11"/>
        <color theme="1"/>
        <rFont val="宋体"/>
        <charset val="134"/>
      </rPr>
      <t>百格拉</t>
    </r>
    <r>
      <rPr>
        <sz val="11"/>
        <color theme="1"/>
        <rFont val="Tahoma"/>
        <charset val="134"/>
      </rPr>
      <t>60</t>
    </r>
    <r>
      <rPr>
        <sz val="11"/>
        <color theme="1"/>
        <rFont val="宋体"/>
        <charset val="134"/>
      </rPr>
      <t>机座伺服电机样本截图</t>
    </r>
  </si>
  <si>
    <r>
      <rPr>
        <sz val="11"/>
        <color theme="1"/>
        <rFont val="Tahoma"/>
        <charset val="134"/>
      </rPr>
      <t>3</t>
    </r>
    <r>
      <rPr>
        <sz val="11"/>
        <color theme="1"/>
        <rFont val="宋体"/>
        <charset val="134"/>
      </rPr>
      <t>，根据转动惯</t>
    </r>
    <r>
      <rPr>
        <sz val="11"/>
        <color theme="1"/>
        <rFont val="Tahoma"/>
        <charset val="134"/>
      </rPr>
      <t xml:space="preserve"> 
     </t>
    </r>
    <r>
      <rPr>
        <sz val="11"/>
        <color theme="1"/>
        <rFont val="宋体"/>
        <charset val="134"/>
      </rPr>
      <t>量初选电机</t>
    </r>
  </si>
  <si>
    <r>
      <rPr>
        <sz val="11"/>
        <color theme="1"/>
        <rFont val="宋体"/>
        <charset val="134"/>
      </rPr>
      <t>负载转动惯量</t>
    </r>
    <r>
      <rPr>
        <sz val="11"/>
        <color theme="1"/>
        <rFont val="Tahoma"/>
        <charset val="134"/>
      </rPr>
      <t>J1(kg.cm²)</t>
    </r>
  </si>
  <si>
    <t>在SW中查惯性张量</t>
  </si>
  <si>
    <r>
      <rPr>
        <sz val="11"/>
        <color theme="1"/>
        <rFont val="宋体"/>
        <charset val="134"/>
      </rPr>
      <t>电机轴联轴器</t>
    </r>
    <r>
      <rPr>
        <sz val="11"/>
        <color theme="1"/>
        <rFont val="Tahoma"/>
        <charset val="134"/>
      </rPr>
      <t>/</t>
    </r>
    <r>
      <rPr>
        <sz val="11"/>
        <color theme="1"/>
        <rFont val="宋体"/>
        <charset val="134"/>
      </rPr>
      <t>小齿轮惯量</t>
    </r>
    <r>
      <rPr>
        <sz val="11"/>
        <color theme="1"/>
        <rFont val="Tahoma"/>
        <charset val="134"/>
      </rPr>
      <t>J0(kg.cm²)</t>
    </r>
  </si>
  <si>
    <t>也可忽略不计填0,无减速机时填0</t>
  </si>
  <si>
    <r>
      <rPr>
        <sz val="11"/>
        <color theme="1"/>
        <rFont val="宋体"/>
        <charset val="134"/>
      </rPr>
      <t>折算到电机轴惯量</t>
    </r>
    <r>
      <rPr>
        <sz val="11"/>
        <color theme="1"/>
        <rFont val="Tahoma"/>
        <charset val="134"/>
      </rPr>
      <t>J"(kg.cm²)</t>
    </r>
  </si>
  <si>
    <t>J"=J1/(i²*η)+J0</t>
  </si>
  <si>
    <t>最大允许惯量比</t>
  </si>
  <si>
    <t>理论上负载折算到电机轴的惯量与电机转子惯量比 ≤ 5</t>
  </si>
  <si>
    <r>
      <rPr>
        <sz val="11"/>
        <color theme="1"/>
        <rFont val="宋体"/>
        <charset val="134"/>
      </rPr>
      <t>需电机转子惯量</t>
    </r>
    <r>
      <rPr>
        <sz val="11"/>
        <color theme="1"/>
        <rFont val="Tahoma"/>
        <charset val="134"/>
      </rPr>
      <t>J(kg.cm²)</t>
    </r>
  </si>
  <si>
    <t>初选电机型号</t>
  </si>
  <si>
    <t>86YG250A</t>
  </si>
  <si>
    <r>
      <rPr>
        <sz val="11"/>
        <color theme="1"/>
        <rFont val="宋体"/>
        <charset val="134"/>
      </rPr>
      <t>转子惯量</t>
    </r>
    <r>
      <rPr>
        <sz val="11"/>
        <color theme="1"/>
        <rFont val="Tahoma"/>
        <charset val="134"/>
      </rPr>
      <t>Jm(kg.cm²)</t>
    </r>
  </si>
  <si>
    <r>
      <rPr>
        <sz val="11"/>
        <color theme="1"/>
        <rFont val="宋体"/>
        <charset val="134"/>
      </rPr>
      <t>电机保持</t>
    </r>
    <r>
      <rPr>
        <sz val="11"/>
        <color theme="1"/>
        <rFont val="Tahoma"/>
        <charset val="134"/>
      </rPr>
      <t>/</t>
    </r>
    <r>
      <rPr>
        <sz val="11"/>
        <color theme="1"/>
        <rFont val="宋体"/>
        <charset val="134"/>
      </rPr>
      <t>额定力矩</t>
    </r>
    <r>
      <rPr>
        <sz val="11"/>
        <color theme="1"/>
        <rFont val="Tahoma"/>
        <charset val="134"/>
      </rPr>
      <t>Jm(kg.cm²)</t>
    </r>
  </si>
  <si>
    <r>
      <rPr>
        <sz val="11"/>
        <color theme="1"/>
        <rFont val="Tahoma"/>
        <charset val="134"/>
      </rPr>
      <t>4</t>
    </r>
    <r>
      <rPr>
        <sz val="11"/>
        <color theme="1"/>
        <rFont val="宋体"/>
        <charset val="134"/>
      </rPr>
      <t>，校核转矩</t>
    </r>
  </si>
  <si>
    <r>
      <rPr>
        <sz val="11"/>
        <color theme="1"/>
        <rFont val="宋体"/>
        <charset val="134"/>
      </rPr>
      <t>负载角加速度</t>
    </r>
    <r>
      <rPr>
        <sz val="11"/>
        <color theme="1"/>
        <rFont val="Tahoma"/>
        <charset val="134"/>
      </rPr>
      <t>εL(rad/s</t>
    </r>
    <r>
      <rPr>
        <sz val="11"/>
        <color theme="1"/>
        <rFont val="宋体"/>
        <charset val="134"/>
      </rPr>
      <t>²</t>
    </r>
    <r>
      <rPr>
        <sz val="11"/>
        <color theme="1"/>
        <rFont val="Tahoma"/>
        <charset val="134"/>
      </rPr>
      <t>)</t>
    </r>
  </si>
  <si>
    <r>
      <rPr>
        <sz val="11"/>
        <color theme="1"/>
        <rFont val="Tahoma"/>
        <charset val="134"/>
      </rPr>
      <t>2*PI*</t>
    </r>
    <r>
      <rPr>
        <sz val="16"/>
        <color theme="1"/>
        <rFont val="Tahoma"/>
        <charset val="134"/>
      </rPr>
      <t>n</t>
    </r>
    <r>
      <rPr>
        <sz val="11"/>
        <color theme="1"/>
        <rFont val="Tahoma"/>
        <charset val="134"/>
      </rPr>
      <t>max/(60*t1)</t>
    </r>
  </si>
  <si>
    <r>
      <rPr>
        <sz val="11"/>
        <color theme="1"/>
        <rFont val="宋体"/>
        <charset val="134"/>
      </rPr>
      <t>电机轴角加速度</t>
    </r>
    <r>
      <rPr>
        <sz val="11"/>
        <color theme="1"/>
        <rFont val="Tahoma"/>
        <charset val="134"/>
      </rPr>
      <t>εm(rad/s²)</t>
    </r>
  </si>
  <si>
    <r>
      <rPr>
        <sz val="11"/>
        <color theme="1"/>
        <rFont val="Tahoma"/>
        <charset val="134"/>
      </rPr>
      <t>2*PI*</t>
    </r>
    <r>
      <rPr>
        <sz val="16"/>
        <color theme="1"/>
        <rFont val="Tahoma"/>
        <charset val="134"/>
      </rPr>
      <t>n</t>
    </r>
    <r>
      <rPr>
        <sz val="11"/>
        <color theme="1"/>
        <rFont val="Tahoma"/>
        <charset val="134"/>
      </rPr>
      <t>0/(60*t1)</t>
    </r>
  </si>
  <si>
    <r>
      <rPr>
        <sz val="11"/>
        <color theme="1"/>
        <rFont val="宋体"/>
        <charset val="134"/>
      </rPr>
      <t>外力</t>
    </r>
    <r>
      <rPr>
        <sz val="11"/>
        <color theme="1"/>
        <rFont val="Tahoma"/>
        <charset val="134"/>
      </rPr>
      <t>Fa(N)</t>
    </r>
  </si>
  <si>
    <r>
      <rPr>
        <sz val="11"/>
        <color theme="1"/>
        <rFont val="宋体"/>
        <charset val="134"/>
      </rPr>
      <t>电机轴负载转矩</t>
    </r>
    <r>
      <rPr>
        <sz val="11"/>
        <color theme="1"/>
        <rFont val="Tahoma"/>
        <charset val="134"/>
      </rPr>
      <t>T</t>
    </r>
    <r>
      <rPr>
        <vertAlign val="subscript"/>
        <sz val="14"/>
        <color theme="1"/>
        <rFont val="Tahoma"/>
        <charset val="134"/>
      </rPr>
      <t>L</t>
    </r>
    <r>
      <rPr>
        <sz val="11"/>
        <color theme="1"/>
        <rFont val="Tahoma"/>
        <charset val="134"/>
      </rPr>
      <t>(N.m)</t>
    </r>
  </si>
  <si>
    <r>
      <rPr>
        <sz val="11"/>
        <color theme="1"/>
        <rFont val="宋体"/>
        <charset val="134"/>
      </rPr>
      <t>因为摩擦负载及小故忽略</t>
    </r>
  </si>
  <si>
    <r>
      <rPr>
        <sz val="11"/>
        <color theme="1"/>
        <rFont val="宋体"/>
        <charset val="134"/>
      </rPr>
      <t>电机轴启动</t>
    </r>
    <r>
      <rPr>
        <sz val="11"/>
        <color theme="1"/>
        <rFont val="Tahoma"/>
        <charset val="134"/>
      </rPr>
      <t>(</t>
    </r>
    <r>
      <rPr>
        <sz val="11"/>
        <color theme="1"/>
        <rFont val="宋体"/>
        <charset val="134"/>
      </rPr>
      <t>加速</t>
    </r>
    <r>
      <rPr>
        <sz val="11"/>
        <color theme="1"/>
        <rFont val="Tahoma"/>
        <charset val="134"/>
      </rPr>
      <t>)</t>
    </r>
    <r>
      <rPr>
        <sz val="11"/>
        <color theme="1"/>
        <rFont val="宋体"/>
        <charset val="134"/>
      </rPr>
      <t>转矩</t>
    </r>
    <r>
      <rPr>
        <sz val="11"/>
        <color theme="1"/>
        <rFont val="Tahoma"/>
        <charset val="134"/>
      </rPr>
      <t>Ts(N.m)</t>
    </r>
  </si>
  <si>
    <t>T0=(J“+Jm)*εm</t>
  </si>
  <si>
    <r>
      <rPr>
        <sz val="11"/>
        <color theme="1"/>
        <rFont val="宋体"/>
        <charset val="134"/>
      </rPr>
      <t>电机转矩安全系数</t>
    </r>
    <r>
      <rPr>
        <sz val="11"/>
        <color theme="1"/>
        <rFont val="Tahoma"/>
        <charset val="134"/>
      </rPr>
      <t>K</t>
    </r>
  </si>
  <si>
    <r>
      <rPr>
        <sz val="11"/>
        <color theme="1"/>
        <rFont val="宋体"/>
        <charset val="134"/>
      </rPr>
      <t>一般取</t>
    </r>
    <r>
      <rPr>
        <sz val="11"/>
        <color theme="1"/>
        <rFont val="Tahoma"/>
        <charset val="134"/>
      </rPr>
      <t>1~2</t>
    </r>
  </si>
  <si>
    <t>所需电机保持转矩T(N.m)</t>
  </si>
  <si>
    <r>
      <rPr>
        <sz val="11"/>
        <color theme="1"/>
        <rFont val="Tahoma"/>
        <charset val="134"/>
      </rPr>
      <t>T=K*(Ts+T</t>
    </r>
    <r>
      <rPr>
        <vertAlign val="subscript"/>
        <sz val="14"/>
        <color theme="1"/>
        <rFont val="Tahoma"/>
        <charset val="134"/>
      </rPr>
      <t>L</t>
    </r>
    <r>
      <rPr>
        <sz val="11"/>
        <color theme="1"/>
        <rFont val="Tahoma"/>
        <charset val="134"/>
      </rPr>
      <t>)</t>
    </r>
  </si>
  <si>
    <t>校核电机转矩</t>
  </si>
  <si>
    <r>
      <rPr>
        <sz val="11"/>
        <color theme="1"/>
        <rFont val="Tahoma"/>
        <charset val="134"/>
      </rPr>
      <t>5</t>
    </r>
    <r>
      <rPr>
        <sz val="11"/>
        <color theme="1"/>
        <rFont val="宋体"/>
        <charset val="134"/>
      </rPr>
      <t>，电机型</t>
    </r>
    <r>
      <rPr>
        <sz val="11"/>
        <color theme="1"/>
        <rFont val="宋体"/>
        <charset val="134"/>
      </rPr>
      <t>号</t>
    </r>
  </si>
  <si>
    <t>电机型号</t>
  </si>
  <si>
    <t>电机步距角α</t>
  </si>
  <si>
    <r>
      <rPr>
        <sz val="11"/>
        <color theme="1"/>
        <rFont val="宋体"/>
        <charset val="134"/>
      </rPr>
      <t>表</t>
    </r>
    <r>
      <rPr>
        <sz val="11"/>
        <color theme="1"/>
        <rFont val="Tahoma"/>
        <charset val="134"/>
      </rPr>
      <t>2</t>
    </r>
    <r>
      <rPr>
        <sz val="11"/>
        <color theme="1"/>
        <rFont val="宋体"/>
        <charset val="134"/>
      </rPr>
      <t>，伺服电机不做</t>
    </r>
  </si>
  <si>
    <r>
      <rPr>
        <sz val="11"/>
        <color theme="1"/>
        <rFont val="宋体"/>
        <charset val="134"/>
      </rPr>
      <t>需细分数N</t>
    </r>
    <r>
      <rPr>
        <sz val="10"/>
        <color theme="1"/>
        <rFont val="宋体"/>
        <charset val="134"/>
      </rPr>
      <t>(1,2,4,8,16,32)</t>
    </r>
  </si>
  <si>
    <r>
      <rPr>
        <b/>
        <sz val="11"/>
        <color rgb="FFFF0000"/>
        <rFont val="宋体"/>
        <charset val="134"/>
      </rPr>
      <t>电机或减速机连接丝杆(直线轴承/滑块导向)</t>
    </r>
    <r>
      <rPr>
        <b/>
        <sz val="11"/>
        <rFont val="宋体"/>
        <charset val="134"/>
      </rPr>
      <t>--常用伺服电机</t>
    </r>
  </si>
  <si>
    <r>
      <rPr>
        <sz val="11"/>
        <color theme="1"/>
        <rFont val="宋体"/>
        <charset val="134"/>
      </rPr>
      <t>减速机减速比</t>
    </r>
    <r>
      <rPr>
        <sz val="11"/>
        <color theme="1"/>
        <rFont val="Tahoma"/>
        <charset val="134"/>
      </rPr>
      <t xml:space="preserve"> i(</t>
    </r>
    <r>
      <rPr>
        <sz val="11"/>
        <color theme="1"/>
        <rFont val="宋体"/>
        <charset val="134"/>
      </rPr>
      <t>直连填</t>
    </r>
    <r>
      <rPr>
        <sz val="11"/>
        <color theme="1"/>
        <rFont val="Tahoma"/>
        <charset val="134"/>
      </rPr>
      <t>1)</t>
    </r>
  </si>
  <si>
    <r>
      <rPr>
        <sz val="11"/>
        <color theme="1"/>
        <rFont val="宋体"/>
        <charset val="134"/>
      </rPr>
      <t>减速机效率</t>
    </r>
    <r>
      <rPr>
        <sz val="11"/>
        <color theme="1"/>
        <rFont val="Tahoma"/>
        <charset val="134"/>
      </rPr>
      <t>η0 (</t>
    </r>
    <r>
      <rPr>
        <sz val="11"/>
        <color theme="1"/>
        <rFont val="宋体"/>
        <charset val="134"/>
      </rPr>
      <t>直连填</t>
    </r>
    <r>
      <rPr>
        <sz val="11"/>
        <color theme="1"/>
        <rFont val="Tahoma"/>
        <charset val="134"/>
      </rPr>
      <t>1)</t>
    </r>
  </si>
  <si>
    <r>
      <rPr>
        <sz val="11"/>
        <color theme="1"/>
        <rFont val="宋体"/>
        <charset val="134"/>
      </rPr>
      <t>丝杆直径</t>
    </r>
    <r>
      <rPr>
        <sz val="11"/>
        <color theme="1"/>
        <rFont val="Tahoma"/>
        <charset val="134"/>
      </rPr>
      <t>d(mm)</t>
    </r>
  </si>
  <si>
    <r>
      <rPr>
        <sz val="11"/>
        <color theme="1"/>
        <rFont val="宋体"/>
        <charset val="134"/>
      </rPr>
      <t>丝杆总长</t>
    </r>
    <r>
      <rPr>
        <sz val="11"/>
        <color theme="1"/>
        <rFont val="Tahoma"/>
        <charset val="134"/>
      </rPr>
      <t>Lb(mm)</t>
    </r>
  </si>
  <si>
    <r>
      <rPr>
        <sz val="11"/>
        <color theme="1"/>
        <rFont val="宋体"/>
        <charset val="134"/>
      </rPr>
      <t>丝杆螺距</t>
    </r>
    <r>
      <rPr>
        <sz val="11"/>
        <color theme="1"/>
        <rFont val="Tahoma"/>
        <charset val="134"/>
      </rPr>
      <t>Bp(mm)</t>
    </r>
  </si>
  <si>
    <r>
      <rPr>
        <sz val="11"/>
        <color theme="1"/>
        <rFont val="宋体"/>
        <charset val="134"/>
      </rPr>
      <t>丝杆传动效率</t>
    </r>
    <r>
      <rPr>
        <sz val="11"/>
        <color theme="1"/>
        <rFont val="Tahoma"/>
        <charset val="134"/>
      </rPr>
      <t>η1</t>
    </r>
  </si>
  <si>
    <r>
      <rPr>
        <sz val="11"/>
        <color theme="1"/>
        <rFont val="宋体"/>
        <charset val="134"/>
      </rPr>
      <t>行程</t>
    </r>
    <r>
      <rPr>
        <sz val="11"/>
        <color theme="1"/>
        <rFont val="Tahoma"/>
        <charset val="134"/>
      </rPr>
      <t>L(mm)</t>
    </r>
  </si>
  <si>
    <r>
      <rPr>
        <sz val="11"/>
        <color theme="1"/>
        <rFont val="宋体"/>
        <charset val="134"/>
      </rPr>
      <t>倾斜角</t>
    </r>
    <r>
      <rPr>
        <sz val="11"/>
        <color theme="1"/>
        <rFont val="Tahoma"/>
        <charset val="134"/>
      </rPr>
      <t xml:space="preserve">α(°, </t>
    </r>
    <r>
      <rPr>
        <sz val="11"/>
        <color theme="1"/>
        <rFont val="宋体"/>
        <charset val="134"/>
      </rPr>
      <t>水平</t>
    </r>
    <r>
      <rPr>
        <sz val="11"/>
        <color theme="1"/>
        <rFont val="Tahoma"/>
        <charset val="134"/>
      </rPr>
      <t>0,</t>
    </r>
    <r>
      <rPr>
        <sz val="11"/>
        <color theme="1"/>
        <rFont val="宋体"/>
        <charset val="134"/>
      </rPr>
      <t>竖直</t>
    </r>
    <r>
      <rPr>
        <sz val="11"/>
        <color theme="1"/>
        <rFont val="Tahoma"/>
        <charset val="134"/>
      </rPr>
      <t>90)</t>
    </r>
  </si>
  <si>
    <r>
      <rPr>
        <sz val="11"/>
        <color theme="1"/>
        <rFont val="宋体"/>
        <charset val="134"/>
      </rPr>
      <t>每分钟往返次数</t>
    </r>
    <r>
      <rPr>
        <sz val="11"/>
        <color theme="1"/>
        <rFont val="Tahoma"/>
        <charset val="134"/>
      </rPr>
      <t>N</t>
    </r>
  </si>
  <si>
    <r>
      <rPr>
        <sz val="11"/>
        <color theme="1"/>
        <rFont val="宋体"/>
        <charset val="134"/>
      </rPr>
      <t>加速时间</t>
    </r>
    <r>
      <rPr>
        <sz val="11"/>
        <color theme="1"/>
        <rFont val="Tahoma"/>
        <charset val="134"/>
      </rPr>
      <t>t1(s)</t>
    </r>
  </si>
  <si>
    <r>
      <rPr>
        <sz val="11"/>
        <color theme="1"/>
        <rFont val="宋体"/>
        <charset val="134"/>
      </rPr>
      <t>减速时间</t>
    </r>
    <r>
      <rPr>
        <sz val="11"/>
        <color theme="1"/>
        <rFont val="Tahoma"/>
        <charset val="134"/>
      </rPr>
      <t>t3(s)</t>
    </r>
  </si>
  <si>
    <r>
      <rPr>
        <sz val="11"/>
        <color theme="1"/>
        <rFont val="宋体"/>
        <charset val="134"/>
      </rPr>
      <t>往返一个周期时间</t>
    </r>
    <r>
      <rPr>
        <sz val="11"/>
        <color theme="1"/>
        <rFont val="Tahoma"/>
        <charset val="134"/>
      </rPr>
      <t>T(s)</t>
    </r>
  </si>
  <si>
    <r>
      <rPr>
        <sz val="11"/>
        <color theme="1"/>
        <rFont val="宋体"/>
        <charset val="134"/>
      </rPr>
      <t>负载最大线速</t>
    </r>
    <r>
      <rPr>
        <sz val="11"/>
        <color theme="1"/>
        <rFont val="Tahoma"/>
        <charset val="134"/>
      </rPr>
      <t>V</t>
    </r>
    <r>
      <rPr>
        <sz val="9"/>
        <color theme="1"/>
        <rFont val="Tahoma"/>
        <charset val="134"/>
      </rPr>
      <t>max</t>
    </r>
    <r>
      <rPr>
        <sz val="11"/>
        <color theme="1"/>
        <rFont val="Tahoma"/>
        <charset val="134"/>
      </rPr>
      <t>(m/s)</t>
    </r>
  </si>
  <si>
    <r>
      <rPr>
        <sz val="10.5"/>
        <rFont val="Tahoma"/>
        <charset val="134"/>
      </rPr>
      <t>2</t>
    </r>
    <r>
      <rPr>
        <sz val="10.5"/>
        <rFont val="宋体"/>
        <charset val="134"/>
      </rPr>
      <t xml:space="preserve">，确定步进电
</t>
    </r>
    <r>
      <rPr>
        <sz val="10.5"/>
        <rFont val="Tahoma"/>
        <charset val="134"/>
      </rPr>
      <t xml:space="preserve">      </t>
    </r>
    <r>
      <rPr>
        <sz val="10.5"/>
        <rFont val="宋体"/>
        <charset val="134"/>
      </rPr>
      <t>机细分精度</t>
    </r>
    <r>
      <rPr>
        <sz val="10.5"/>
        <rFont val="Tahoma"/>
        <charset val="134"/>
      </rPr>
      <t>(</t>
    </r>
    <r>
      <rPr>
        <sz val="10.5"/>
        <rFont val="宋体"/>
        <charset val="134"/>
      </rPr>
      <t>伺服电机不做</t>
    </r>
    <r>
      <rPr>
        <sz val="10.5"/>
        <rFont val="Tahoma"/>
        <charset val="134"/>
      </rPr>
      <t>)</t>
    </r>
  </si>
  <si>
    <r>
      <rPr>
        <sz val="11"/>
        <color theme="0" tint="-0.499984740745262"/>
        <rFont val="宋体"/>
        <charset val="134"/>
      </rPr>
      <t>要求精度</t>
    </r>
    <r>
      <rPr>
        <sz val="11"/>
        <color theme="0" tint="-0.499984740745262"/>
        <rFont val="Tahoma"/>
        <charset val="134"/>
      </rPr>
      <t>(±mm)</t>
    </r>
  </si>
  <si>
    <r>
      <rPr>
        <sz val="11"/>
        <color theme="0" tint="-0.499984740745262"/>
        <rFont val="宋体"/>
        <charset val="134"/>
      </rPr>
      <t>细分后最大步距角β</t>
    </r>
    <r>
      <rPr>
        <sz val="11"/>
        <color theme="0" tint="-0.499984740745262"/>
        <rFont val="Tahoma"/>
        <charset val="134"/>
      </rPr>
      <t>(°)</t>
    </r>
  </si>
  <si>
    <r>
      <rPr>
        <sz val="11"/>
        <color theme="1"/>
        <rFont val="Tahoma"/>
        <charset val="134"/>
      </rPr>
      <t>3</t>
    </r>
    <r>
      <rPr>
        <sz val="11"/>
        <color theme="1"/>
        <rFont val="宋体"/>
        <charset val="134"/>
      </rPr>
      <t>，根据转动惯</t>
    </r>
    <r>
      <rPr>
        <sz val="11"/>
        <color theme="1"/>
        <rFont val="Tahoma"/>
        <charset val="134"/>
      </rPr>
      <t xml:space="preserve"> 
    </t>
    </r>
    <r>
      <rPr>
        <sz val="11"/>
        <color theme="1"/>
        <rFont val="宋体"/>
        <charset val="134"/>
      </rPr>
      <t>量初选电机</t>
    </r>
  </si>
  <si>
    <r>
      <rPr>
        <sz val="11"/>
        <color theme="1"/>
        <rFont val="宋体"/>
        <charset val="134"/>
      </rPr>
      <t>负载</t>
    </r>
    <r>
      <rPr>
        <sz val="11"/>
        <color theme="1"/>
        <rFont val="Tahoma"/>
        <charset val="134"/>
      </rPr>
      <t>(</t>
    </r>
    <r>
      <rPr>
        <sz val="11"/>
        <color theme="1"/>
        <rFont val="宋体"/>
        <charset val="134"/>
      </rPr>
      <t>含平台</t>
    </r>
    <r>
      <rPr>
        <sz val="11"/>
        <color theme="1"/>
        <rFont val="Tahoma"/>
        <charset val="134"/>
      </rPr>
      <t>)</t>
    </r>
    <r>
      <rPr>
        <sz val="11"/>
        <color theme="1"/>
        <rFont val="宋体"/>
        <charset val="134"/>
      </rPr>
      <t>总重量</t>
    </r>
    <r>
      <rPr>
        <sz val="11"/>
        <color theme="1"/>
        <rFont val="Tahoma"/>
        <charset val="134"/>
      </rPr>
      <t>m(kg)</t>
    </r>
  </si>
  <si>
    <r>
      <rPr>
        <sz val="11"/>
        <color theme="1"/>
        <rFont val="宋体"/>
        <charset val="134"/>
      </rPr>
      <t>负载</t>
    </r>
    <r>
      <rPr>
        <sz val="11"/>
        <color theme="1"/>
        <rFont val="Tahoma"/>
        <charset val="134"/>
      </rPr>
      <t>(</t>
    </r>
    <r>
      <rPr>
        <sz val="11"/>
        <color theme="1"/>
        <rFont val="宋体"/>
        <charset val="134"/>
      </rPr>
      <t>含平台</t>
    </r>
    <r>
      <rPr>
        <sz val="11"/>
        <color theme="1"/>
        <rFont val="Tahoma"/>
        <charset val="134"/>
      </rPr>
      <t>)</t>
    </r>
    <r>
      <rPr>
        <sz val="11"/>
        <color theme="1"/>
        <rFont val="宋体"/>
        <charset val="134"/>
      </rPr>
      <t>折算到丝杆惯量</t>
    </r>
    <r>
      <rPr>
        <sz val="11"/>
        <color theme="1"/>
        <rFont val="Tahoma"/>
        <charset val="134"/>
      </rPr>
      <t>J</t>
    </r>
    <r>
      <rPr>
        <vertAlign val="subscript"/>
        <sz val="14"/>
        <color theme="1"/>
        <rFont val="Tahoma"/>
        <charset val="134"/>
      </rPr>
      <t>L</t>
    </r>
    <r>
      <rPr>
        <sz val="11"/>
        <color theme="1"/>
        <rFont val="Tahoma"/>
        <charset val="134"/>
      </rPr>
      <t>(kg.cm²)</t>
    </r>
  </si>
  <si>
    <t>m*(Bp/2PI)²/η1</t>
  </si>
  <si>
    <r>
      <rPr>
        <sz val="11"/>
        <color theme="1"/>
        <rFont val="宋体"/>
        <charset val="134"/>
      </rPr>
      <t>丝杆转动惯量</t>
    </r>
    <r>
      <rPr>
        <sz val="11"/>
        <color theme="1"/>
        <rFont val="Tahoma"/>
        <charset val="134"/>
      </rPr>
      <t>J</t>
    </r>
    <r>
      <rPr>
        <vertAlign val="subscript"/>
        <sz val="14"/>
        <color theme="1"/>
        <rFont val="Tahoma"/>
        <charset val="134"/>
      </rPr>
      <t>B</t>
    </r>
    <r>
      <rPr>
        <sz val="11"/>
        <color theme="1"/>
        <rFont val="Tahoma"/>
        <charset val="134"/>
      </rPr>
      <t>(kg.cm²)</t>
    </r>
  </si>
  <si>
    <r>
      <rPr>
        <sz val="11"/>
        <color theme="1"/>
        <rFont val="Tahoma"/>
        <charset val="134"/>
      </rPr>
      <t>(PI/32)ρ*Lb*d</t>
    </r>
    <r>
      <rPr>
        <vertAlign val="superscript"/>
        <sz val="12"/>
        <color theme="1"/>
        <rFont val="Tahoma"/>
        <charset val="134"/>
      </rPr>
      <t>4</t>
    </r>
  </si>
  <si>
    <r>
      <rPr>
        <sz val="11"/>
        <color theme="1"/>
        <rFont val="宋体"/>
        <charset val="134"/>
      </rPr>
      <t>联轴器</t>
    </r>
    <r>
      <rPr>
        <sz val="11"/>
        <color theme="1"/>
        <rFont val="Tahoma"/>
        <charset val="134"/>
      </rPr>
      <t>/</t>
    </r>
    <r>
      <rPr>
        <sz val="11"/>
        <color theme="1"/>
        <rFont val="宋体"/>
        <charset val="134"/>
      </rPr>
      <t>丝杆输入轮</t>
    </r>
    <r>
      <rPr>
        <sz val="11"/>
        <color theme="1"/>
        <rFont val="Tahoma"/>
        <charset val="134"/>
      </rPr>
      <t>J</t>
    </r>
    <r>
      <rPr>
        <vertAlign val="subscript"/>
        <sz val="14"/>
        <color theme="1"/>
        <rFont val="Tahoma"/>
        <charset val="134"/>
      </rPr>
      <t>C</t>
    </r>
    <r>
      <rPr>
        <sz val="11"/>
        <color theme="1"/>
        <rFont val="Tahoma"/>
        <charset val="134"/>
      </rPr>
      <t>(kg.cm²)</t>
    </r>
  </si>
  <si>
    <r>
      <rPr>
        <sz val="11"/>
        <color theme="1"/>
        <rFont val="Tahoma"/>
        <charset val="134"/>
      </rPr>
      <t>m*D</t>
    </r>
    <r>
      <rPr>
        <vertAlign val="superscript"/>
        <sz val="12"/>
        <color theme="1"/>
        <rFont val="Tahoma"/>
        <charset val="134"/>
      </rPr>
      <t>4</t>
    </r>
    <r>
      <rPr>
        <sz val="11"/>
        <color theme="1"/>
        <rFont val="Tahoma"/>
        <charset val="134"/>
      </rPr>
      <t>/8</t>
    </r>
    <r>
      <rPr>
        <sz val="11"/>
        <color theme="1"/>
        <rFont val="宋体"/>
        <charset val="134"/>
      </rPr>
      <t>或查</t>
    </r>
    <r>
      <rPr>
        <sz val="11"/>
        <color theme="1"/>
        <rFont val="Tahoma"/>
        <charset val="134"/>
      </rPr>
      <t>SW</t>
    </r>
  </si>
  <si>
    <r>
      <rPr>
        <sz val="11"/>
        <color theme="1"/>
        <rFont val="宋体"/>
        <charset val="134"/>
      </rPr>
      <t>总负载转动惯量</t>
    </r>
    <r>
      <rPr>
        <sz val="11"/>
        <color theme="1"/>
        <rFont val="Tahoma"/>
        <charset val="134"/>
      </rPr>
      <t>J'(kg.cm²)</t>
    </r>
  </si>
  <si>
    <t>J1=JL+JB+JC</t>
  </si>
  <si>
    <t>电机轴联轴器/小齿轮惯量J0(kg.cm²)</t>
  </si>
  <si>
    <t>J"=J'/(i²*η)+J0</t>
  </si>
  <si>
    <r>
      <rPr>
        <sz val="11"/>
        <color theme="1"/>
        <rFont val="宋体"/>
        <charset val="134"/>
      </rPr>
      <t>理论上惯量比</t>
    </r>
    <r>
      <rPr>
        <sz val="11"/>
        <color theme="1"/>
        <rFont val="Tahoma"/>
        <charset val="134"/>
      </rPr>
      <t xml:space="preserve"> </t>
    </r>
    <r>
      <rPr>
        <sz val="11"/>
        <color theme="1"/>
        <rFont val="宋体"/>
        <charset val="134"/>
      </rPr>
      <t>≤</t>
    </r>
    <r>
      <rPr>
        <sz val="11"/>
        <color theme="1"/>
        <rFont val="Tahoma"/>
        <charset val="134"/>
      </rPr>
      <t xml:space="preserve"> 5</t>
    </r>
  </si>
  <si>
    <t>初选电机</t>
  </si>
  <si>
    <t>60SG-M01330</t>
  </si>
  <si>
    <r>
      <rPr>
        <sz val="11"/>
        <color theme="1"/>
        <rFont val="宋体"/>
        <charset val="134"/>
      </rPr>
      <t>电机转子惯量</t>
    </r>
    <r>
      <rPr>
        <sz val="11"/>
        <color theme="1"/>
        <rFont val="Tahoma"/>
        <charset val="134"/>
      </rPr>
      <t>Jm(kg.cm²)</t>
    </r>
  </si>
  <si>
    <r>
      <rPr>
        <sz val="11"/>
        <color theme="1"/>
        <rFont val="宋体"/>
        <charset val="134"/>
      </rPr>
      <t>电机保持</t>
    </r>
    <r>
      <rPr>
        <sz val="11"/>
        <color theme="1"/>
        <rFont val="Tahoma"/>
        <charset val="134"/>
      </rPr>
      <t>/</t>
    </r>
    <r>
      <rPr>
        <sz val="11"/>
        <color theme="1"/>
        <rFont val="宋体"/>
        <charset val="134"/>
      </rPr>
      <t>额定力矩</t>
    </r>
    <r>
      <rPr>
        <sz val="11"/>
        <color theme="1"/>
        <rFont val="Tahoma"/>
        <charset val="134"/>
      </rPr>
      <t>Tm(kg.cm²)</t>
    </r>
  </si>
  <si>
    <t>Vmax/t1</t>
  </si>
  <si>
    <t>2*PI*n0/(60*t1)</t>
  </si>
  <si>
    <t>直线轴承/导轨取0.02</t>
  </si>
  <si>
    <r>
      <rPr>
        <sz val="11"/>
        <color theme="1"/>
        <rFont val="宋体"/>
        <charset val="134"/>
      </rPr>
      <t>匀速运动时丝杆受力</t>
    </r>
    <r>
      <rPr>
        <sz val="11"/>
        <color theme="1"/>
        <rFont val="Tahoma"/>
        <charset val="134"/>
      </rPr>
      <t>F(N)</t>
    </r>
  </si>
  <si>
    <t>Fa+mg(sinα+μcosα)</t>
  </si>
  <si>
    <t>F*Bp/(2*PI*i*η0*η1)</t>
  </si>
  <si>
    <t>(J"+Jm)*εm</t>
  </si>
  <si>
    <r>
      <rPr>
        <sz val="11"/>
        <color theme="1"/>
        <rFont val="Tahoma"/>
        <charset val="134"/>
      </rPr>
      <t>1~1.5,</t>
    </r>
    <r>
      <rPr>
        <sz val="11"/>
        <color theme="1"/>
        <rFont val="宋体"/>
        <charset val="134"/>
      </rPr>
      <t>水平取小竖直取大</t>
    </r>
  </si>
  <si>
    <r>
      <rPr>
        <sz val="11"/>
        <color theme="1"/>
        <rFont val="宋体"/>
        <charset val="134"/>
      </rPr>
      <t>计算电机保持</t>
    </r>
    <r>
      <rPr>
        <sz val="11"/>
        <color theme="1"/>
        <rFont val="Tahoma"/>
        <charset val="134"/>
      </rPr>
      <t>/</t>
    </r>
    <r>
      <rPr>
        <sz val="11"/>
        <color theme="1"/>
        <rFont val="宋体"/>
        <charset val="134"/>
      </rPr>
      <t>额定转矩</t>
    </r>
    <r>
      <rPr>
        <sz val="11"/>
        <color theme="1"/>
        <rFont val="Tahoma"/>
        <charset val="134"/>
      </rPr>
      <t>T(N.m)</t>
    </r>
  </si>
  <si>
    <r>
      <rPr>
        <sz val="11"/>
        <color theme="1"/>
        <rFont val="Tahoma"/>
        <charset val="134"/>
      </rPr>
      <t>5</t>
    </r>
    <r>
      <rPr>
        <sz val="11"/>
        <color theme="1"/>
        <rFont val="宋体"/>
        <charset val="134"/>
      </rPr>
      <t>，电机选型</t>
    </r>
  </si>
  <si>
    <t>表2，伺服电机不做</t>
  </si>
  <si>
    <r>
      <rPr>
        <sz val="11"/>
        <color theme="0" tint="-0.499984740745262"/>
        <rFont val="宋体"/>
        <charset val="134"/>
      </rPr>
      <t>最小细分数</t>
    </r>
    <r>
      <rPr>
        <sz val="11"/>
        <color theme="0" tint="-0.499984740745262"/>
        <rFont val="Tahoma"/>
        <charset val="134"/>
      </rPr>
      <t>N</t>
    </r>
    <r>
      <rPr>
        <sz val="10"/>
        <color theme="0" tint="-0.499984740745262"/>
        <rFont val="宋体"/>
        <charset val="134"/>
      </rPr>
      <t>(1,2,4,8,16,32)</t>
    </r>
  </si>
  <si>
    <t>不细分</t>
  </si>
  <si>
    <r>
      <rPr>
        <b/>
        <sz val="11"/>
        <color rgb="FFFF0000"/>
        <rFont val="宋体"/>
        <charset val="134"/>
      </rPr>
      <t>直线平台往复运动电（带传动、链传动、齿轮齿条传动)</t>
    </r>
    <r>
      <rPr>
        <b/>
        <sz val="11"/>
        <rFont val="宋体"/>
        <charset val="134"/>
      </rPr>
      <t>--常用步进电机</t>
    </r>
  </si>
  <si>
    <r>
      <rPr>
        <sz val="11"/>
        <color theme="1"/>
        <rFont val="宋体"/>
        <charset val="134"/>
      </rPr>
      <t>主</t>
    </r>
    <r>
      <rPr>
        <sz val="11"/>
        <color theme="1"/>
        <rFont val="宋体"/>
        <charset val="134"/>
      </rPr>
      <t>轮节圆</t>
    </r>
    <r>
      <rPr>
        <sz val="11"/>
        <color theme="1"/>
        <rFont val="Tahoma"/>
        <charset val="134"/>
      </rPr>
      <t>d1(mm)</t>
    </r>
  </si>
  <si>
    <r>
      <rPr>
        <sz val="11"/>
        <color theme="1"/>
        <rFont val="宋体"/>
        <charset val="134"/>
      </rPr>
      <t>从轮节圆</t>
    </r>
    <r>
      <rPr>
        <sz val="11"/>
        <color theme="1"/>
        <rFont val="Tahoma"/>
        <charset val="134"/>
      </rPr>
      <t>d2(mm)(</t>
    </r>
    <r>
      <rPr>
        <sz val="11"/>
        <color theme="1"/>
        <rFont val="宋体"/>
        <charset val="134"/>
      </rPr>
      <t>齿条</t>
    </r>
    <r>
      <rPr>
        <sz val="11"/>
        <color theme="1"/>
        <rFont val="Tahoma"/>
        <charset val="134"/>
      </rPr>
      <t>=d1)</t>
    </r>
  </si>
  <si>
    <r>
      <rPr>
        <sz val="11"/>
        <color theme="1"/>
        <rFont val="宋体"/>
        <charset val="134"/>
      </rPr>
      <t>链条</t>
    </r>
    <r>
      <rPr>
        <sz val="11"/>
        <color theme="1"/>
        <rFont val="Tahoma"/>
        <charset val="134"/>
      </rPr>
      <t>/</t>
    </r>
    <r>
      <rPr>
        <sz val="11"/>
        <color theme="1"/>
        <rFont val="宋体"/>
        <charset val="134"/>
      </rPr>
      <t>皮带</t>
    </r>
    <r>
      <rPr>
        <sz val="11"/>
        <color theme="1"/>
        <rFont val="Tahoma"/>
        <charset val="134"/>
      </rPr>
      <t>/</t>
    </r>
    <r>
      <rPr>
        <sz val="11"/>
        <color theme="1"/>
        <rFont val="宋体"/>
        <charset val="134"/>
      </rPr>
      <t>齿条传动效率</t>
    </r>
    <r>
      <rPr>
        <sz val="11"/>
        <color theme="1"/>
        <rFont val="Tahoma"/>
        <charset val="134"/>
      </rPr>
      <t>η1</t>
    </r>
  </si>
  <si>
    <r>
      <rPr>
        <sz val="11"/>
        <color theme="1"/>
        <rFont val="宋体"/>
        <charset val="134"/>
      </rPr>
      <t>倾斜角</t>
    </r>
    <r>
      <rPr>
        <sz val="11"/>
        <color theme="1"/>
        <rFont val="Tahoma"/>
        <charset val="134"/>
      </rPr>
      <t xml:space="preserve">θ(°, </t>
    </r>
    <r>
      <rPr>
        <sz val="11"/>
        <color theme="1"/>
        <rFont val="宋体"/>
        <charset val="134"/>
      </rPr>
      <t>水平</t>
    </r>
    <r>
      <rPr>
        <sz val="11"/>
        <color theme="1"/>
        <rFont val="Tahoma"/>
        <charset val="134"/>
      </rPr>
      <t>0,</t>
    </r>
    <r>
      <rPr>
        <sz val="11"/>
        <color theme="1"/>
        <rFont val="宋体"/>
        <charset val="134"/>
      </rPr>
      <t>竖直</t>
    </r>
    <r>
      <rPr>
        <sz val="11"/>
        <color theme="1"/>
        <rFont val="Tahoma"/>
        <charset val="134"/>
      </rPr>
      <t>90)</t>
    </r>
  </si>
  <si>
    <r>
      <rPr>
        <sz val="11"/>
        <color theme="1"/>
        <rFont val="宋体"/>
        <charset val="134"/>
      </rPr>
      <t>电机最大转速</t>
    </r>
    <r>
      <rPr>
        <sz val="16"/>
        <color theme="1"/>
        <rFont val="Tahoma"/>
        <charset val="134"/>
      </rPr>
      <t>n</t>
    </r>
    <r>
      <rPr>
        <sz val="11"/>
        <color theme="1"/>
        <rFont val="Tahoma"/>
        <charset val="134"/>
      </rPr>
      <t>0max(r/min)</t>
    </r>
  </si>
  <si>
    <t>rad/s</t>
  </si>
  <si>
    <r>
      <rPr>
        <sz val="11"/>
        <color theme="1"/>
        <rFont val="宋体"/>
        <charset val="134"/>
      </rPr>
      <t>要求精度</t>
    </r>
    <r>
      <rPr>
        <sz val="11"/>
        <color theme="1"/>
        <rFont val="Tahoma"/>
        <charset val="134"/>
      </rPr>
      <t>(±mm)</t>
    </r>
  </si>
  <si>
    <t>往复</t>
  </si>
  <si>
    <t>一般为往复</t>
  </si>
  <si>
    <r>
      <rPr>
        <sz val="11"/>
        <color theme="1"/>
        <rFont val="宋体"/>
        <charset val="134"/>
      </rPr>
      <t>细分后最大步距角β</t>
    </r>
    <r>
      <rPr>
        <sz val="11"/>
        <color theme="1"/>
        <rFont val="Tahoma"/>
        <charset val="134"/>
      </rPr>
      <t>(°)</t>
    </r>
  </si>
  <si>
    <r>
      <rPr>
        <sz val="11"/>
        <color theme="1"/>
        <rFont val="Tahoma"/>
        <charset val="134"/>
      </rPr>
      <t>3</t>
    </r>
    <r>
      <rPr>
        <sz val="11"/>
        <color theme="1"/>
        <rFont val="宋体"/>
        <charset val="134"/>
      </rPr>
      <t>，计算皮带</t>
    </r>
    <r>
      <rPr>
        <sz val="11"/>
        <color theme="1"/>
        <rFont val="Tahoma"/>
        <charset val="134"/>
      </rPr>
      <t xml:space="preserve">
     </t>
    </r>
    <r>
      <rPr>
        <sz val="11"/>
        <color theme="1"/>
        <rFont val="宋体"/>
        <charset val="134"/>
      </rPr>
      <t>链条</t>
    </r>
    <r>
      <rPr>
        <sz val="11"/>
        <color theme="1"/>
        <rFont val="Tahoma"/>
        <charset val="134"/>
      </rPr>
      <t>/</t>
    </r>
    <r>
      <rPr>
        <sz val="11"/>
        <color theme="1"/>
        <rFont val="宋体"/>
        <charset val="134"/>
      </rPr>
      <t xml:space="preserve">齿条
</t>
    </r>
    <r>
      <rPr>
        <sz val="11"/>
        <color theme="1"/>
        <rFont val="Tahoma"/>
        <charset val="134"/>
      </rPr>
      <t xml:space="preserve">     </t>
    </r>
    <r>
      <rPr>
        <sz val="11"/>
        <color theme="1"/>
        <rFont val="宋体"/>
        <charset val="134"/>
      </rPr>
      <t>受力</t>
    </r>
  </si>
  <si>
    <t>不用考虑正反方向</t>
  </si>
  <si>
    <t>kgm2</t>
  </si>
  <si>
    <r>
      <rPr>
        <sz val="11"/>
        <color theme="1"/>
        <rFont val="宋体"/>
        <charset val="134"/>
      </rPr>
      <t>负载</t>
    </r>
    <r>
      <rPr>
        <sz val="11"/>
        <color theme="1"/>
        <rFont val="Tahoma"/>
        <charset val="134"/>
      </rPr>
      <t>(</t>
    </r>
    <r>
      <rPr>
        <sz val="11"/>
        <color theme="1"/>
        <rFont val="宋体"/>
        <charset val="134"/>
      </rPr>
      <t>含平台</t>
    </r>
    <r>
      <rPr>
        <sz val="11"/>
        <color theme="1"/>
        <rFont val="Tahoma"/>
        <charset val="134"/>
      </rPr>
      <t>)</t>
    </r>
    <r>
      <rPr>
        <sz val="11"/>
        <color theme="1"/>
        <rFont val="宋体"/>
        <charset val="134"/>
      </rPr>
      <t>总重量</t>
    </r>
    <r>
      <rPr>
        <sz val="11"/>
        <color theme="1"/>
        <rFont val="Tahoma"/>
        <charset val="134"/>
      </rPr>
      <t>m1(kg)</t>
    </r>
  </si>
  <si>
    <r>
      <rPr>
        <sz val="11"/>
        <color theme="1"/>
        <rFont val="宋体"/>
        <charset val="134"/>
      </rPr>
      <t>皮带</t>
    </r>
    <r>
      <rPr>
        <sz val="11"/>
        <color theme="1"/>
        <rFont val="Tahoma"/>
        <charset val="134"/>
      </rPr>
      <t>/</t>
    </r>
    <r>
      <rPr>
        <sz val="11"/>
        <color theme="1"/>
        <rFont val="宋体"/>
        <charset val="134"/>
      </rPr>
      <t>链条</t>
    </r>
    <r>
      <rPr>
        <sz val="11"/>
        <color theme="1"/>
        <rFont val="Tahoma"/>
        <charset val="134"/>
      </rPr>
      <t>/</t>
    </r>
    <r>
      <rPr>
        <sz val="11"/>
        <color theme="1"/>
        <rFont val="宋体"/>
        <charset val="134"/>
      </rPr>
      <t>齿条重量</t>
    </r>
    <r>
      <rPr>
        <sz val="11"/>
        <color theme="1"/>
        <rFont val="Tahoma"/>
        <charset val="134"/>
      </rPr>
      <t>m2(kg)</t>
    </r>
  </si>
  <si>
    <r>
      <rPr>
        <sz val="11"/>
        <color theme="1"/>
        <rFont val="宋体"/>
        <charset val="134"/>
      </rPr>
      <t>齿条固定时填</t>
    </r>
    <r>
      <rPr>
        <sz val="11"/>
        <color theme="1"/>
        <rFont val="Tahoma"/>
        <charset val="134"/>
      </rPr>
      <t>0</t>
    </r>
  </si>
  <si>
    <r>
      <rPr>
        <sz val="11"/>
        <color theme="1"/>
        <rFont val="宋体"/>
        <charset val="134"/>
      </rPr>
      <t>负载总质量</t>
    </r>
    <r>
      <rPr>
        <sz val="11"/>
        <color theme="1"/>
        <rFont val="Tahoma"/>
        <charset val="134"/>
      </rPr>
      <t>m(kg)</t>
    </r>
  </si>
  <si>
    <t>m1+m2</t>
  </si>
  <si>
    <r>
      <rPr>
        <sz val="11"/>
        <color theme="1"/>
        <rFont val="宋体"/>
        <charset val="134"/>
      </rPr>
      <t>启动加速度</t>
    </r>
    <r>
      <rPr>
        <sz val="11"/>
        <color theme="1"/>
        <rFont val="Tahoma"/>
        <charset val="134"/>
      </rPr>
      <t>a(m/s²)</t>
    </r>
  </si>
  <si>
    <r>
      <rPr>
        <b/>
        <sz val="11"/>
        <color theme="1"/>
        <rFont val="宋体"/>
        <charset val="134"/>
      </rPr>
      <t>左侧为标准算法</t>
    </r>
    <r>
      <rPr>
        <sz val="11"/>
        <color theme="1"/>
        <rFont val="宋体"/>
        <charset val="134"/>
      </rPr>
      <t>，转矩安全系数推荐</t>
    </r>
    <r>
      <rPr>
        <sz val="11"/>
        <color theme="1"/>
        <rFont val="Tahoma"/>
        <charset val="134"/>
      </rPr>
      <t>1.2</t>
    </r>
    <r>
      <rPr>
        <sz val="11"/>
        <color theme="1"/>
        <rFont val="宋体"/>
        <charset val="134"/>
      </rPr>
      <t xml:space="preserve">，
</t>
    </r>
    <r>
      <rPr>
        <b/>
        <sz val="11"/>
        <color theme="1"/>
        <rFont val="宋体"/>
        <charset val="134"/>
      </rPr>
      <t>右侧为简易算法</t>
    </r>
    <r>
      <rPr>
        <sz val="11"/>
        <color theme="1"/>
        <rFont val="宋体"/>
        <charset val="134"/>
      </rPr>
      <t>，计算电机转矩时未未考虑传动系惯量，转矩安全系数应取大值，推荐</t>
    </r>
    <r>
      <rPr>
        <sz val="11"/>
        <color theme="1"/>
        <rFont val="Tahoma"/>
        <charset val="134"/>
      </rPr>
      <t>2</t>
    </r>
  </si>
  <si>
    <t>简易算法：先算所需电机轴转矩再算转动惯量，转矩不考虑传动系(如主从链/带轮，减速大小齿轮)惯量，需将安全系数放大为2</t>
  </si>
  <si>
    <r>
      <rPr>
        <sz val="11"/>
        <color theme="1"/>
        <rFont val="宋体"/>
        <charset val="134"/>
      </rPr>
      <t>匀速运动时主链</t>
    </r>
    <r>
      <rPr>
        <sz val="11"/>
        <color theme="1"/>
        <rFont val="Tahoma"/>
        <charset val="134"/>
      </rPr>
      <t>/</t>
    </r>
    <r>
      <rPr>
        <sz val="11"/>
        <color theme="1"/>
        <rFont val="宋体"/>
        <charset val="134"/>
      </rPr>
      <t>带</t>
    </r>
    <r>
      <rPr>
        <sz val="11"/>
        <color theme="1"/>
        <rFont val="Tahoma"/>
        <charset val="134"/>
      </rPr>
      <t>/</t>
    </r>
    <r>
      <rPr>
        <sz val="11"/>
        <color theme="1"/>
        <rFont val="宋体"/>
        <charset val="134"/>
      </rPr>
      <t>齿轮拉力</t>
    </r>
    <r>
      <rPr>
        <sz val="11"/>
        <color theme="1"/>
        <rFont val="Tahoma"/>
        <charset val="134"/>
      </rPr>
      <t>F(N)</t>
    </r>
  </si>
  <si>
    <t>Fa+mg(μcosα+sinα)</t>
  </si>
  <si>
    <r>
      <rPr>
        <sz val="11"/>
        <color theme="1"/>
        <rFont val="Tahoma"/>
        <charset val="134"/>
      </rPr>
      <t>4</t>
    </r>
    <r>
      <rPr>
        <sz val="11"/>
        <color theme="1"/>
        <rFont val="宋体"/>
        <charset val="134"/>
      </rPr>
      <t xml:space="preserve">，确定电机所
</t>
    </r>
    <r>
      <rPr>
        <sz val="11"/>
        <color theme="1"/>
        <rFont val="Tahoma"/>
        <charset val="134"/>
      </rPr>
      <t xml:space="preserve">     </t>
    </r>
    <r>
      <rPr>
        <sz val="11"/>
        <color theme="1"/>
        <rFont val="宋体"/>
        <charset val="134"/>
      </rPr>
      <t>需转矩</t>
    </r>
  </si>
  <si>
    <r>
      <rPr>
        <sz val="11"/>
        <color theme="1"/>
        <rFont val="宋体"/>
        <charset val="134"/>
      </rPr>
      <t>皮带承受最大拉力</t>
    </r>
    <r>
      <rPr>
        <sz val="11"/>
        <color theme="1"/>
        <rFont val="Tahoma"/>
        <charset val="134"/>
      </rPr>
      <t>Fmax(N)</t>
    </r>
  </si>
  <si>
    <t>Fmax=F+ma</t>
  </si>
  <si>
    <r>
      <rPr>
        <sz val="11"/>
        <color theme="1"/>
        <rFont val="宋体"/>
        <charset val="134"/>
      </rPr>
      <t>惯性力</t>
    </r>
    <r>
      <rPr>
        <sz val="11"/>
        <color theme="1"/>
        <rFont val="Tahoma"/>
        <charset val="134"/>
      </rPr>
      <t>ma(N)</t>
    </r>
  </si>
  <si>
    <t>m*a</t>
  </si>
  <si>
    <r>
      <rPr>
        <sz val="11"/>
        <color theme="1"/>
        <rFont val="宋体"/>
        <charset val="134"/>
      </rPr>
      <t>所需电机轴转矩</t>
    </r>
    <r>
      <rPr>
        <sz val="11"/>
        <color theme="1"/>
        <rFont val="Tahoma"/>
        <charset val="134"/>
      </rPr>
      <t>T(N.m)</t>
    </r>
  </si>
  <si>
    <t>T=Fmax*d1/2/(i*η0*η1)</t>
  </si>
  <si>
    <r>
      <rPr>
        <sz val="11"/>
        <color theme="1"/>
        <rFont val="Tahoma"/>
        <charset val="134"/>
      </rPr>
      <t>4</t>
    </r>
    <r>
      <rPr>
        <sz val="11"/>
        <color theme="1"/>
        <rFont val="宋体"/>
        <charset val="134"/>
      </rPr>
      <t>，根据转动惯</t>
    </r>
    <r>
      <rPr>
        <sz val="11"/>
        <color theme="1"/>
        <rFont val="Tahoma"/>
        <charset val="134"/>
      </rPr>
      <t xml:space="preserve"> 
     </t>
    </r>
    <r>
      <rPr>
        <sz val="11"/>
        <color theme="1"/>
        <rFont val="宋体"/>
        <charset val="134"/>
      </rPr>
      <t>量初选电机</t>
    </r>
  </si>
  <si>
    <r>
      <rPr>
        <sz val="11"/>
        <color theme="1"/>
        <rFont val="宋体"/>
        <charset val="134"/>
      </rPr>
      <t>负载折算到主动轮惯量</t>
    </r>
    <r>
      <rPr>
        <sz val="11"/>
        <color theme="1"/>
        <rFont val="Tahoma"/>
        <charset val="134"/>
      </rPr>
      <t>J3(kg.cm²)</t>
    </r>
  </si>
  <si>
    <r>
      <rPr>
        <sz val="11"/>
        <color theme="1"/>
        <rFont val="Tahoma"/>
        <charset val="134"/>
      </rPr>
      <t xml:space="preserve">mr²/η1 </t>
    </r>
    <r>
      <rPr>
        <sz val="11"/>
        <color theme="0" tint="-0.499984740745262"/>
        <rFont val="宋体"/>
        <charset val="134"/>
      </rPr>
      <t>其中</t>
    </r>
    <r>
      <rPr>
        <sz val="11"/>
        <color theme="0" tint="-0.499984740745262"/>
        <rFont val="Tahoma"/>
        <charset val="134"/>
      </rPr>
      <t>r=d1/2</t>
    </r>
  </si>
  <si>
    <r>
      <rPr>
        <sz val="11"/>
        <color theme="1"/>
        <rFont val="宋体"/>
        <charset val="134"/>
      </rPr>
      <t>简易算法取</t>
    </r>
    <r>
      <rPr>
        <sz val="11"/>
        <color theme="1"/>
        <rFont val="Tahoma"/>
        <charset val="134"/>
      </rPr>
      <t>2</t>
    </r>
  </si>
  <si>
    <r>
      <rPr>
        <sz val="11"/>
        <color theme="1"/>
        <rFont val="宋体"/>
        <charset val="134"/>
      </rPr>
      <t>主动轮惯量</t>
    </r>
    <r>
      <rPr>
        <sz val="11"/>
        <color theme="1"/>
        <rFont val="Tahoma"/>
        <charset val="134"/>
      </rPr>
      <t>J1(kg.cm²)</t>
    </r>
  </si>
  <si>
    <t>T=K*TL</t>
  </si>
  <si>
    <r>
      <rPr>
        <sz val="11"/>
        <color theme="1"/>
        <rFont val="宋体"/>
        <charset val="134"/>
      </rPr>
      <t>从动轮惯量</t>
    </r>
    <r>
      <rPr>
        <sz val="11"/>
        <color theme="1"/>
        <rFont val="Tahoma"/>
        <charset val="134"/>
      </rPr>
      <t>J20(kg.cm²)</t>
    </r>
  </si>
  <si>
    <r>
      <rPr>
        <sz val="11"/>
        <color theme="1"/>
        <rFont val="宋体"/>
        <charset val="134"/>
      </rPr>
      <t>齿条填</t>
    </r>
    <r>
      <rPr>
        <sz val="11"/>
        <color theme="1"/>
        <rFont val="Tahoma"/>
        <charset val="134"/>
      </rPr>
      <t>0</t>
    </r>
  </si>
  <si>
    <r>
      <rPr>
        <sz val="11"/>
        <color theme="1"/>
        <rFont val="Tahoma"/>
        <charset val="134"/>
      </rPr>
      <t>5</t>
    </r>
    <r>
      <rPr>
        <sz val="11"/>
        <color theme="1"/>
        <rFont val="宋体"/>
        <charset val="134"/>
      </rPr>
      <t>，转动惯量</t>
    </r>
  </si>
  <si>
    <t>算法同标准算法</t>
  </si>
  <si>
    <r>
      <rPr>
        <sz val="11"/>
        <color theme="1"/>
        <rFont val="宋体"/>
        <charset val="134"/>
      </rPr>
      <t>从动轮轮折算到主动轮惯量</t>
    </r>
    <r>
      <rPr>
        <sz val="11"/>
        <color theme="1"/>
        <rFont val="Tahoma"/>
        <charset val="134"/>
      </rPr>
      <t>J2(kg.cm</t>
    </r>
    <r>
      <rPr>
        <sz val="11"/>
        <color theme="1"/>
        <rFont val="宋体"/>
        <charset val="134"/>
      </rPr>
      <t>²</t>
    </r>
    <r>
      <rPr>
        <sz val="11"/>
        <color theme="1"/>
        <rFont val="Tahoma"/>
        <charset val="134"/>
      </rPr>
      <t>)</t>
    </r>
  </si>
  <si>
    <t>J20/[(d2/d1)^2*η1]</t>
  </si>
  <si>
    <r>
      <rPr>
        <sz val="11"/>
        <color theme="1"/>
        <rFont val="Tahoma"/>
        <charset val="134"/>
      </rPr>
      <t>6</t>
    </r>
    <r>
      <rPr>
        <sz val="11"/>
        <color theme="1"/>
        <rFont val="宋体"/>
        <charset val="134"/>
      </rPr>
      <t>，电机选型</t>
    </r>
  </si>
  <si>
    <t>86YG250C</t>
  </si>
  <si>
    <r>
      <rPr>
        <sz val="11"/>
        <color theme="1"/>
        <rFont val="宋体"/>
        <charset val="134"/>
      </rPr>
      <t>根据</t>
    </r>
    <r>
      <rPr>
        <sz val="11"/>
        <color theme="1"/>
        <rFont val="Tahoma"/>
        <charset val="134"/>
      </rPr>
      <t>J</t>
    </r>
    <r>
      <rPr>
        <sz val="11"/>
        <color theme="1"/>
        <rFont val="宋体"/>
        <charset val="134"/>
      </rPr>
      <t>和</t>
    </r>
    <r>
      <rPr>
        <sz val="11"/>
        <color theme="1"/>
        <rFont val="Tahoma"/>
        <charset val="134"/>
      </rPr>
      <t>T</t>
    </r>
    <r>
      <rPr>
        <sz val="11"/>
        <color theme="1"/>
        <rFont val="宋体"/>
        <charset val="134"/>
      </rPr>
      <t>查找样本</t>
    </r>
  </si>
  <si>
    <t>电机轴联轴器/小齿轮惯量J'(kg.cm²)</t>
  </si>
  <si>
    <t>可忽略不计填0,无减速机时填0</t>
  </si>
  <si>
    <t>(J1+J2+J3)/(i²*η0)+J'</t>
  </si>
  <si>
    <r>
      <rPr>
        <sz val="11"/>
        <color theme="1"/>
        <rFont val="宋体"/>
        <charset val="134"/>
      </rPr>
      <t>最小细分数</t>
    </r>
    <r>
      <rPr>
        <sz val="11"/>
        <color theme="1"/>
        <rFont val="Tahoma"/>
        <charset val="134"/>
      </rPr>
      <t>N</t>
    </r>
    <r>
      <rPr>
        <sz val="10"/>
        <color theme="1"/>
        <rFont val="宋体"/>
        <charset val="134"/>
      </rPr>
      <t>(1,2,4,8,16,32)</t>
    </r>
  </si>
  <si>
    <t>T=F*d1/2/(i*η0*η1)</t>
  </si>
  <si>
    <r>
      <rPr>
        <sz val="11"/>
        <rFont val="宋体"/>
        <charset val="134"/>
      </rPr>
      <t>最小细分数</t>
    </r>
    <r>
      <rPr>
        <sz val="11"/>
        <rFont val="Tahoma"/>
        <charset val="134"/>
      </rPr>
      <t>N</t>
    </r>
    <r>
      <rPr>
        <sz val="10"/>
        <rFont val="宋体"/>
        <charset val="134"/>
      </rPr>
      <t>(1,2,4,8,16,32)</t>
    </r>
  </si>
  <si>
    <r>
      <rPr>
        <b/>
        <sz val="11"/>
        <color rgb="FFFF0000"/>
        <rFont val="宋体"/>
        <charset val="134"/>
      </rPr>
      <t>平带传送机构</t>
    </r>
    <r>
      <rPr>
        <b/>
        <sz val="11"/>
        <rFont val="宋体"/>
        <charset val="134"/>
      </rPr>
      <t>--常用步进电机</t>
    </r>
  </si>
  <si>
    <r>
      <rPr>
        <sz val="11"/>
        <color theme="1"/>
        <rFont val="Tahoma"/>
        <charset val="134"/>
      </rPr>
      <t xml:space="preserve">A0, </t>
    </r>
    <r>
      <rPr>
        <sz val="11"/>
        <color theme="1"/>
        <rFont val="宋体"/>
        <charset val="134"/>
      </rPr>
      <t>工况选择</t>
    </r>
  </si>
  <si>
    <t>传送工况</t>
  </si>
  <si>
    <t>间歇输送</t>
  </si>
  <si>
    <r>
      <rPr>
        <sz val="11"/>
        <color theme="1"/>
        <rFont val="Tahoma"/>
        <charset val="134"/>
      </rPr>
      <t xml:space="preserve">A1, </t>
    </r>
    <r>
      <rPr>
        <sz val="11"/>
        <color theme="1"/>
        <rFont val="宋体"/>
        <charset val="134"/>
      </rPr>
      <t xml:space="preserve">间歇输送参
</t>
    </r>
    <r>
      <rPr>
        <sz val="11"/>
        <color theme="1"/>
        <rFont val="Tahoma"/>
        <charset val="134"/>
      </rPr>
      <t xml:space="preserve">     </t>
    </r>
    <r>
      <rPr>
        <sz val="11"/>
        <color theme="1"/>
        <rFont val="宋体"/>
        <charset val="134"/>
      </rPr>
      <t>数</t>
    </r>
    <r>
      <rPr>
        <sz val="11"/>
        <color theme="1"/>
        <rFont val="Tahoma"/>
        <charset val="134"/>
      </rPr>
      <t>(</t>
    </r>
    <r>
      <rPr>
        <sz val="11"/>
        <color theme="1"/>
        <rFont val="宋体"/>
        <charset val="134"/>
      </rPr>
      <t xml:space="preserve">连续输
</t>
    </r>
    <r>
      <rPr>
        <sz val="11"/>
        <color theme="1"/>
        <rFont val="Tahoma"/>
        <charset val="134"/>
      </rPr>
      <t xml:space="preserve">     </t>
    </r>
    <r>
      <rPr>
        <sz val="11"/>
        <color theme="1"/>
        <rFont val="宋体"/>
        <charset val="134"/>
      </rPr>
      <t>送不用填</t>
    </r>
    <r>
      <rPr>
        <sz val="11"/>
        <color theme="1"/>
        <rFont val="Tahoma"/>
        <charset val="134"/>
      </rPr>
      <t>)</t>
    </r>
  </si>
  <si>
    <r>
      <rPr>
        <sz val="11"/>
        <color theme="1"/>
        <rFont val="宋体"/>
        <charset val="134"/>
      </rPr>
      <t>每次运动距离</t>
    </r>
    <r>
      <rPr>
        <sz val="11"/>
        <color theme="1"/>
        <rFont val="Tahoma"/>
        <charset val="134"/>
      </rPr>
      <t>L(mm)</t>
    </r>
  </si>
  <si>
    <r>
      <rPr>
        <sz val="11"/>
        <color theme="1"/>
        <rFont val="宋体"/>
        <charset val="134"/>
      </rPr>
      <t>每分停歇次数</t>
    </r>
    <r>
      <rPr>
        <sz val="11"/>
        <color theme="1"/>
        <rFont val="Tahoma"/>
        <charset val="134"/>
      </rPr>
      <t>N</t>
    </r>
  </si>
  <si>
    <r>
      <rPr>
        <sz val="11"/>
        <color theme="1"/>
        <rFont val="Tahoma"/>
        <charset val="134"/>
      </rPr>
      <t>A2,</t>
    </r>
    <r>
      <rPr>
        <sz val="10"/>
        <color theme="1"/>
        <rFont val="宋体"/>
        <charset val="134"/>
      </rPr>
      <t>连续输送参数</t>
    </r>
  </si>
  <si>
    <r>
      <rPr>
        <sz val="11"/>
        <color theme="1"/>
        <rFont val="宋体"/>
        <charset val="134"/>
      </rPr>
      <t>传送速度</t>
    </r>
    <r>
      <rPr>
        <sz val="11"/>
        <color theme="1"/>
        <rFont val="Tahoma"/>
        <charset val="134"/>
      </rPr>
      <t>V(m/s)</t>
    </r>
  </si>
  <si>
    <t>间歇输送时不用填</t>
  </si>
  <si>
    <r>
      <rPr>
        <sz val="11"/>
        <color theme="1"/>
        <rFont val="宋体"/>
        <charset val="134"/>
      </rPr>
      <t>主滚筒直径</t>
    </r>
    <r>
      <rPr>
        <sz val="11"/>
        <color theme="1"/>
        <rFont val="Tahoma"/>
        <charset val="134"/>
      </rPr>
      <t>d1(mm)</t>
    </r>
  </si>
  <si>
    <r>
      <rPr>
        <sz val="11"/>
        <color theme="1"/>
        <rFont val="宋体"/>
        <charset val="134"/>
      </rPr>
      <t>从滚筒直径</t>
    </r>
    <r>
      <rPr>
        <sz val="11"/>
        <color theme="1"/>
        <rFont val="Tahoma"/>
        <charset val="134"/>
      </rPr>
      <t>d2(mm)(</t>
    </r>
    <r>
      <rPr>
        <sz val="11"/>
        <color theme="1"/>
        <rFont val="宋体"/>
        <charset val="134"/>
      </rPr>
      <t>通常</t>
    </r>
    <r>
      <rPr>
        <sz val="11"/>
        <color theme="1"/>
        <rFont val="Tahoma"/>
        <charset val="134"/>
      </rPr>
      <t>=d1)</t>
    </r>
  </si>
  <si>
    <r>
      <rPr>
        <sz val="11"/>
        <color theme="1"/>
        <rFont val="宋体"/>
        <charset val="134"/>
      </rPr>
      <t>传送带传动效率</t>
    </r>
    <r>
      <rPr>
        <sz val="11"/>
        <color theme="1"/>
        <rFont val="Tahoma"/>
        <charset val="134"/>
      </rPr>
      <t>η1</t>
    </r>
  </si>
  <si>
    <t>间歇输送时不考虑正反，连续输送时阻碍运动为正</t>
  </si>
  <si>
    <r>
      <rPr>
        <sz val="11"/>
        <color theme="1"/>
        <rFont val="宋体"/>
        <charset val="134"/>
      </rPr>
      <t>输送带摩擦因数</t>
    </r>
    <r>
      <rPr>
        <sz val="11"/>
        <color theme="1"/>
        <rFont val="Tahoma"/>
        <charset val="134"/>
      </rPr>
      <t>μ</t>
    </r>
  </si>
  <si>
    <t>滚筒支撑</t>
  </si>
  <si>
    <r>
      <rPr>
        <sz val="11"/>
        <color theme="1"/>
        <rFont val="宋体"/>
        <charset val="134"/>
      </rPr>
      <t>皮带总重量</t>
    </r>
    <r>
      <rPr>
        <sz val="11"/>
        <color theme="1"/>
        <rFont val="Tahoma"/>
        <charset val="134"/>
      </rPr>
      <t>m2(kg)</t>
    </r>
  </si>
  <si>
    <r>
      <rPr>
        <sz val="11"/>
        <color theme="1"/>
        <rFont val="宋体"/>
        <charset val="134"/>
      </rPr>
      <t>负载与皮带总重量</t>
    </r>
    <r>
      <rPr>
        <sz val="11"/>
        <color theme="1"/>
        <rFont val="Tahoma"/>
        <charset val="134"/>
      </rPr>
      <t>m(kg)</t>
    </r>
  </si>
  <si>
    <t>m=m1+m2</t>
  </si>
  <si>
    <r>
      <rPr>
        <sz val="11"/>
        <color theme="1"/>
        <rFont val="宋体"/>
        <charset val="134"/>
      </rPr>
      <t>匀速运动时主滚筒拉力</t>
    </r>
    <r>
      <rPr>
        <sz val="11"/>
        <color theme="1"/>
        <rFont val="Tahoma"/>
        <charset val="134"/>
      </rPr>
      <t>F(N)</t>
    </r>
  </si>
  <si>
    <r>
      <rPr>
        <b/>
        <sz val="11"/>
        <color theme="1"/>
        <rFont val="宋体"/>
        <charset val="134"/>
      </rPr>
      <t>左侧为标准算法</t>
    </r>
    <r>
      <rPr>
        <sz val="11"/>
        <color theme="1"/>
        <rFont val="宋体"/>
        <charset val="134"/>
      </rPr>
      <t>，转矩安全系数推荐</t>
    </r>
    <r>
      <rPr>
        <sz val="11"/>
        <color theme="1"/>
        <rFont val="Tahoma"/>
        <charset val="134"/>
      </rPr>
      <t>1.5</t>
    </r>
    <r>
      <rPr>
        <sz val="11"/>
        <color theme="1"/>
        <rFont val="宋体"/>
        <charset val="134"/>
      </rPr>
      <t xml:space="preserve">，
</t>
    </r>
    <r>
      <rPr>
        <b/>
        <sz val="11"/>
        <color theme="1"/>
        <rFont val="宋体"/>
        <charset val="134"/>
      </rPr>
      <t>右侧为简易算法</t>
    </r>
    <r>
      <rPr>
        <sz val="11"/>
        <color theme="1"/>
        <rFont val="宋体"/>
        <charset val="134"/>
      </rPr>
      <t>，计算电机转矩时未未考虑传动系惯量，转矩安全系数应取大值，推荐</t>
    </r>
    <r>
      <rPr>
        <sz val="11"/>
        <color theme="1"/>
        <rFont val="Tahoma"/>
        <charset val="134"/>
      </rPr>
      <t>2</t>
    </r>
  </si>
  <si>
    <r>
      <rPr>
        <sz val="11"/>
        <color theme="1"/>
        <rFont val="宋体"/>
        <charset val="134"/>
      </rPr>
      <t>负载折算到主</t>
    </r>
    <r>
      <rPr>
        <sz val="11"/>
        <color theme="1"/>
        <rFont val="宋体"/>
        <charset val="134"/>
      </rPr>
      <t>带</t>
    </r>
    <r>
      <rPr>
        <sz val="11"/>
        <color theme="1"/>
        <rFont val="宋体"/>
        <charset val="134"/>
      </rPr>
      <t>轮惯量</t>
    </r>
    <r>
      <rPr>
        <sz val="11"/>
        <color theme="1"/>
        <rFont val="Tahoma"/>
        <charset val="134"/>
      </rPr>
      <t>J3(kg.cm²)</t>
    </r>
  </si>
  <si>
    <r>
      <rPr>
        <sz val="11"/>
        <color theme="1"/>
        <rFont val="宋体"/>
        <charset val="134"/>
      </rPr>
      <t>主滚筒惯量</t>
    </r>
    <r>
      <rPr>
        <sz val="11"/>
        <color theme="1"/>
        <rFont val="Tahoma"/>
        <charset val="134"/>
      </rPr>
      <t>J1(kg.cm²)</t>
    </r>
  </si>
  <si>
    <r>
      <rPr>
        <sz val="11"/>
        <color theme="1"/>
        <rFont val="Tahoma"/>
        <charset val="134"/>
      </rPr>
      <t xml:space="preserve">md²/8  </t>
    </r>
    <r>
      <rPr>
        <sz val="11"/>
        <color theme="1"/>
        <rFont val="宋体"/>
        <charset val="134"/>
      </rPr>
      <t>或者在</t>
    </r>
    <r>
      <rPr>
        <sz val="11"/>
        <color theme="1"/>
        <rFont val="Tahoma"/>
        <charset val="134"/>
      </rPr>
      <t>SW</t>
    </r>
    <r>
      <rPr>
        <sz val="11"/>
        <color theme="1"/>
        <rFont val="宋体"/>
        <charset val="134"/>
      </rPr>
      <t>中查惯性张量</t>
    </r>
  </si>
  <si>
    <r>
      <rPr>
        <sz val="11"/>
        <color theme="1"/>
        <rFont val="宋体"/>
        <charset val="134"/>
      </rPr>
      <t>从滚筒惯量</t>
    </r>
    <r>
      <rPr>
        <sz val="11"/>
        <color theme="1"/>
        <rFont val="Tahoma"/>
        <charset val="134"/>
      </rPr>
      <t>J20(kg.cm²)</t>
    </r>
  </si>
  <si>
    <r>
      <rPr>
        <sz val="11"/>
        <color theme="1"/>
        <rFont val="宋体"/>
        <charset val="134"/>
      </rPr>
      <t>从滚筒折算到主滚筒惯量</t>
    </r>
    <r>
      <rPr>
        <sz val="11"/>
        <color theme="1"/>
        <rFont val="Tahoma"/>
        <charset val="134"/>
      </rPr>
      <t>J2(kg.cm</t>
    </r>
    <r>
      <rPr>
        <sz val="11"/>
        <color theme="1"/>
        <rFont val="宋体"/>
        <charset val="134"/>
      </rPr>
      <t>²</t>
    </r>
    <r>
      <rPr>
        <sz val="11"/>
        <color theme="1"/>
        <rFont val="Tahoma"/>
        <charset val="134"/>
      </rPr>
      <t>)</t>
    </r>
  </si>
  <si>
    <t>J20/*η1</t>
  </si>
  <si>
    <t>简易算法取2</t>
  </si>
  <si>
    <t>T=K*Tmax/i/η0</t>
  </si>
  <si>
    <t>86YG250D</t>
  </si>
  <si>
    <t>86YG250B</t>
  </si>
  <si>
    <t>1~2</t>
  </si>
  <si>
    <r>
      <rPr>
        <sz val="11"/>
        <color theme="1"/>
        <rFont val="宋体"/>
        <charset val="134"/>
      </rPr>
      <t>说明：</t>
    </r>
    <r>
      <rPr>
        <sz val="11"/>
        <color theme="1"/>
        <rFont val="Tahoma"/>
        <charset val="134"/>
      </rPr>
      <t xml:space="preserve"> 
    1</t>
    </r>
    <r>
      <rPr>
        <sz val="11"/>
        <color theme="1"/>
        <rFont val="宋体"/>
        <charset val="134"/>
      </rPr>
      <t>，最大允许惯量：伺服比步进大，因为伺服电机允许过载，进口比国产大国产，在厂家样本可查，或者按国产</t>
    </r>
    <r>
      <rPr>
        <sz val="11"/>
        <color theme="1"/>
        <rFont val="Tahoma"/>
        <charset val="134"/>
      </rPr>
      <t>(</t>
    </r>
    <r>
      <rPr>
        <sz val="11"/>
        <color theme="1"/>
        <rFont val="宋体"/>
        <charset val="134"/>
      </rPr>
      <t>含台湾</t>
    </r>
    <r>
      <rPr>
        <sz val="11"/>
        <color theme="1"/>
        <rFont val="Tahoma"/>
        <charset val="134"/>
      </rPr>
      <t>)</t>
    </r>
    <r>
      <rPr>
        <sz val="11"/>
        <color theme="1"/>
        <rFont val="宋体"/>
        <charset val="134"/>
      </rPr>
      <t>取</t>
    </r>
    <r>
      <rPr>
        <sz val="11"/>
        <color theme="1"/>
        <rFont val="Tahoma"/>
        <charset val="134"/>
      </rPr>
      <t>5</t>
    </r>
    <r>
      <rPr>
        <sz val="11"/>
        <color theme="1"/>
        <rFont val="宋体"/>
        <charset val="134"/>
      </rPr>
      <t>，进口取</t>
    </r>
    <r>
      <rPr>
        <sz val="11"/>
        <color theme="1"/>
        <rFont val="Tahoma"/>
        <charset val="134"/>
      </rPr>
      <t>10</t>
    </r>
    <r>
      <rPr>
        <sz val="11"/>
        <color theme="1"/>
        <rFont val="宋体"/>
        <charset val="134"/>
      </rPr>
      <t>。</t>
    </r>
    <r>
      <rPr>
        <sz val="11"/>
        <color theme="1"/>
        <rFont val="Tahoma"/>
        <charset val="134"/>
      </rPr>
      <t xml:space="preserve">
    2</t>
    </r>
    <r>
      <rPr>
        <sz val="11"/>
        <color theme="1"/>
        <rFont val="宋体"/>
        <charset val="134"/>
      </rPr>
      <t>，注意步进电机应用于低速场合</t>
    </r>
    <r>
      <rPr>
        <sz val="11"/>
        <color theme="1"/>
        <rFont val="Tahoma"/>
        <charset val="134"/>
      </rPr>
      <t>--</t>
    </r>
    <r>
      <rPr>
        <sz val="11"/>
        <color theme="1"/>
        <rFont val="宋体"/>
        <charset val="134"/>
      </rPr>
      <t>每分钟转速不超过</t>
    </r>
    <r>
      <rPr>
        <sz val="11"/>
        <color theme="1"/>
        <rFont val="Tahoma"/>
        <charset val="134"/>
      </rPr>
      <t>1000r/min</t>
    </r>
    <r>
      <rPr>
        <sz val="11"/>
        <color theme="1"/>
        <rFont val="宋体"/>
        <charset val="134"/>
      </rPr>
      <t>（闭环步进可达</t>
    </r>
    <r>
      <rPr>
        <sz val="11"/>
        <color theme="1"/>
        <rFont val="Tahoma"/>
        <charset val="134"/>
      </rPr>
      <t>1500</t>
    </r>
    <r>
      <rPr>
        <sz val="11"/>
        <color theme="1"/>
        <rFont val="宋体"/>
        <charset val="134"/>
      </rPr>
      <t>）。伺服电机比步进电机贵出很多，所以步进电机应用更广泛，特别是在定位精度要求不是很高的同步带</t>
    </r>
    <r>
      <rPr>
        <sz val="11"/>
        <color theme="1"/>
        <rFont val="Tahoma"/>
        <charset val="134"/>
      </rPr>
      <t>/</t>
    </r>
    <r>
      <rPr>
        <sz val="11"/>
        <color theme="1"/>
        <rFont val="宋体"/>
        <charset val="134"/>
      </rPr>
      <t>链条传动、平带输送机等场合经常使用步进电机，在定位要求高的丝杆中常采用伺服电机。</t>
    </r>
    <r>
      <rPr>
        <sz val="11"/>
        <color theme="1"/>
        <rFont val="Tahoma"/>
        <charset val="134"/>
      </rPr>
      <t xml:space="preserve">
    3</t>
    </r>
    <r>
      <rPr>
        <sz val="11"/>
        <color theme="1"/>
        <rFont val="宋体"/>
        <charset val="134"/>
      </rPr>
      <t>，步进电机与伺服电机的</t>
    </r>
    <r>
      <rPr>
        <sz val="11"/>
        <color theme="1"/>
        <rFont val="Tahoma"/>
        <charset val="134"/>
      </rPr>
      <t>7</t>
    </r>
    <r>
      <rPr>
        <sz val="11"/>
        <color theme="1"/>
        <rFont val="宋体"/>
        <charset val="134"/>
      </rPr>
      <t xml:space="preserve">不同：
</t>
    </r>
    <r>
      <rPr>
        <sz val="11"/>
        <color theme="1"/>
        <rFont val="Tahoma"/>
        <charset val="134"/>
      </rPr>
      <t>A</t>
    </r>
    <r>
      <rPr>
        <sz val="11"/>
        <color theme="1"/>
        <rFont val="宋体"/>
        <charset val="134"/>
      </rPr>
      <t xml:space="preserve">控制精度——伺服电机控制精度可以根据编码器设置，精度更高；
</t>
    </r>
    <r>
      <rPr>
        <sz val="11"/>
        <color theme="1"/>
        <rFont val="Tahoma"/>
        <charset val="134"/>
      </rPr>
      <t>B</t>
    </r>
    <r>
      <rPr>
        <sz val="11"/>
        <color theme="1"/>
        <rFont val="宋体"/>
        <charset val="134"/>
      </rPr>
      <t xml:space="preserve">低频特性——步进电机低频容易振动，伺服电机不会；
</t>
    </r>
    <r>
      <rPr>
        <sz val="11"/>
        <color theme="1"/>
        <rFont val="Tahoma"/>
        <charset val="134"/>
      </rPr>
      <t>C</t>
    </r>
    <r>
      <rPr>
        <sz val="11"/>
        <color theme="1"/>
        <rFont val="宋体"/>
        <charset val="134"/>
      </rPr>
      <t>矩频特性——步进电机随转速提高力矩变小，所以其最高工作转速一般在</t>
    </r>
    <r>
      <rPr>
        <sz val="11"/>
        <color theme="1"/>
        <rFont val="Tahoma"/>
        <charset val="134"/>
      </rPr>
      <t xml:space="preserve"> </t>
    </r>
    <r>
      <rPr>
        <sz val="11"/>
        <color theme="1"/>
        <rFont val="宋体"/>
        <charset val="134"/>
      </rPr>
      <t>＜</t>
    </r>
    <r>
      <rPr>
        <sz val="11"/>
        <color theme="1"/>
        <rFont val="Tahoma"/>
        <charset val="134"/>
      </rPr>
      <t>1000r/min</t>
    </r>
    <r>
      <rPr>
        <sz val="11"/>
        <color theme="1"/>
        <rFont val="宋体"/>
        <charset val="134"/>
      </rPr>
      <t>，伺服电机在额定转速内</t>
    </r>
    <r>
      <rPr>
        <sz val="11"/>
        <color theme="1"/>
        <rFont val="Tahoma"/>
        <charset val="134"/>
      </rPr>
      <t>(</t>
    </r>
    <r>
      <rPr>
        <sz val="11"/>
        <color theme="1"/>
        <rFont val="宋体"/>
        <charset val="134"/>
      </rPr>
      <t>一般</t>
    </r>
    <r>
      <rPr>
        <sz val="11"/>
        <color theme="1"/>
        <rFont val="Tahoma"/>
        <charset val="134"/>
      </rPr>
      <t>3000r/min)</t>
    </r>
    <r>
      <rPr>
        <sz val="11"/>
        <color theme="1"/>
        <rFont val="宋体"/>
        <charset val="134"/>
      </rPr>
      <t>内都能输出额定力矩，在额定转速以上为恒功率输出，最高转速可达</t>
    </r>
    <r>
      <rPr>
        <sz val="11"/>
        <color theme="1"/>
        <rFont val="Tahoma"/>
        <charset val="134"/>
      </rPr>
      <t>5000 r/min</t>
    </r>
    <r>
      <rPr>
        <sz val="11"/>
        <color theme="1"/>
        <rFont val="宋体"/>
        <charset val="134"/>
      </rPr>
      <t xml:space="preserve">；；
</t>
    </r>
    <r>
      <rPr>
        <sz val="11"/>
        <color theme="1"/>
        <rFont val="Tahoma"/>
        <charset val="134"/>
      </rPr>
      <t>D</t>
    </r>
    <r>
      <rPr>
        <sz val="11"/>
        <color theme="1"/>
        <rFont val="宋体"/>
        <charset val="134"/>
      </rPr>
      <t>过载能力——步进电机不能过载，伺服电机最大力矩可过载</t>
    </r>
    <r>
      <rPr>
        <sz val="11"/>
        <color theme="1"/>
        <rFont val="Tahoma"/>
        <charset val="134"/>
      </rPr>
      <t>3</t>
    </r>
    <r>
      <rPr>
        <sz val="11"/>
        <color theme="1"/>
        <rFont val="宋体"/>
        <charset val="134"/>
      </rPr>
      <t xml:space="preserve">倍；
</t>
    </r>
    <r>
      <rPr>
        <sz val="11"/>
        <color theme="1"/>
        <rFont val="Tahoma"/>
        <charset val="134"/>
      </rPr>
      <t>E</t>
    </r>
    <r>
      <rPr>
        <sz val="11"/>
        <color theme="1"/>
        <rFont val="宋体"/>
        <charset val="134"/>
      </rPr>
      <t xml:space="preserve">运行性能——步进电机为开环控制，伺服电机时闭环控制；
</t>
    </r>
    <r>
      <rPr>
        <sz val="11"/>
        <color theme="1"/>
        <rFont val="Tahoma"/>
        <charset val="134"/>
      </rPr>
      <t>F</t>
    </r>
    <r>
      <rPr>
        <sz val="11"/>
        <color theme="1"/>
        <rFont val="宋体"/>
        <charset val="134"/>
      </rPr>
      <t>速度响应——步进电机启动时间</t>
    </r>
    <r>
      <rPr>
        <sz val="11"/>
        <color rgb="FFFF0000"/>
        <rFont val="Tahoma"/>
        <charset val="134"/>
      </rPr>
      <t>0.1~1s</t>
    </r>
    <r>
      <rPr>
        <sz val="11"/>
        <color theme="1"/>
        <rFont val="宋体"/>
        <charset val="134"/>
      </rPr>
      <t>，伺服电机</t>
    </r>
    <r>
      <rPr>
        <sz val="11"/>
        <color rgb="FFFF0000"/>
        <rFont val="Tahoma"/>
        <charset val="134"/>
      </rPr>
      <t>0.05~0.5</t>
    </r>
    <r>
      <rPr>
        <sz val="11"/>
        <color theme="1"/>
        <rFont val="宋体"/>
        <charset val="134"/>
      </rPr>
      <t xml:space="preserve">（雷赛推荐参数）；
</t>
    </r>
    <r>
      <rPr>
        <sz val="11"/>
        <color theme="1"/>
        <rFont val="Tahoma"/>
        <charset val="134"/>
      </rPr>
      <t>G</t>
    </r>
    <r>
      <rPr>
        <sz val="11"/>
        <color theme="1"/>
        <rFont val="宋体"/>
        <charset val="134"/>
      </rPr>
      <t>效率指标——步进电机效率约</t>
    </r>
    <r>
      <rPr>
        <sz val="11"/>
        <color theme="1"/>
        <rFont val="Tahoma"/>
        <charset val="134"/>
      </rPr>
      <t>60%</t>
    </r>
    <r>
      <rPr>
        <sz val="11"/>
        <color theme="1"/>
        <rFont val="宋体"/>
        <charset val="134"/>
      </rPr>
      <t>，伺服电机约</t>
    </r>
    <r>
      <rPr>
        <sz val="11"/>
        <color theme="1"/>
        <rFont val="Tahoma"/>
        <charset val="134"/>
      </rPr>
      <t>80%</t>
    </r>
    <r>
      <rPr>
        <sz val="11"/>
        <color theme="1"/>
        <rFont val="宋体"/>
        <charset val="134"/>
      </rPr>
      <t xml:space="preserve">；
</t>
    </r>
    <r>
      <rPr>
        <sz val="11"/>
        <color theme="1"/>
        <rFont val="Tahoma"/>
        <charset val="134"/>
      </rPr>
      <t xml:space="preserve">     </t>
    </r>
    <r>
      <rPr>
        <sz val="11"/>
        <color theme="1"/>
        <rFont val="宋体"/>
        <charset val="134"/>
      </rPr>
      <t>实际使用中会发现：伺服电机贵，贵出很多，所以同步电机应用更广泛，特别是在定位精度要求不是很高的</t>
    </r>
    <r>
      <rPr>
        <sz val="11"/>
        <color rgb="FFFF0000"/>
        <rFont val="宋体"/>
        <charset val="134"/>
      </rPr>
      <t>同步带传动、平带输送机等场合经常使用步进电机。</t>
    </r>
    <r>
      <rPr>
        <sz val="11"/>
        <color theme="1"/>
        <rFont val="宋体"/>
        <charset val="134"/>
      </rPr>
      <t xml:space="preserve">
</t>
    </r>
    <r>
      <rPr>
        <sz val="11"/>
        <color theme="1"/>
        <rFont val="Tahoma"/>
        <charset val="134"/>
      </rPr>
      <t xml:space="preserve">    4</t>
    </r>
    <r>
      <rPr>
        <sz val="11"/>
        <color theme="1"/>
        <rFont val="宋体"/>
        <charset val="134"/>
      </rPr>
      <t>，步进电机分类：永磁式、反应式、混合式，前两种基本淘汰，混合式有</t>
    </r>
    <r>
      <rPr>
        <sz val="11"/>
        <color theme="1"/>
        <rFont val="Tahoma"/>
        <charset val="134"/>
      </rPr>
      <t>2</t>
    </r>
    <r>
      <rPr>
        <sz val="11"/>
        <color theme="1"/>
        <rFont val="宋体"/>
        <charset val="134"/>
      </rPr>
      <t>相</t>
    </r>
    <r>
      <rPr>
        <sz val="11"/>
        <color theme="1"/>
        <rFont val="Tahoma"/>
        <charset val="134"/>
      </rPr>
      <t>(</t>
    </r>
    <r>
      <rPr>
        <sz val="11"/>
        <color theme="1"/>
        <rFont val="宋体"/>
        <charset val="134"/>
      </rPr>
      <t>步距角</t>
    </r>
    <r>
      <rPr>
        <sz val="11"/>
        <color theme="1"/>
        <rFont val="Tahoma"/>
        <charset val="134"/>
      </rPr>
      <t>1.8°)</t>
    </r>
    <r>
      <rPr>
        <sz val="11"/>
        <color theme="1"/>
        <rFont val="宋体"/>
        <charset val="134"/>
      </rPr>
      <t>，</t>
    </r>
    <r>
      <rPr>
        <sz val="11"/>
        <color theme="1"/>
        <rFont val="Tahoma"/>
        <charset val="134"/>
      </rPr>
      <t>3</t>
    </r>
    <r>
      <rPr>
        <sz val="11"/>
        <color theme="1"/>
        <rFont val="宋体"/>
        <charset val="134"/>
      </rPr>
      <t>相</t>
    </r>
    <r>
      <rPr>
        <sz val="11"/>
        <color theme="1"/>
        <rFont val="Tahoma"/>
        <charset val="134"/>
      </rPr>
      <t>(</t>
    </r>
    <r>
      <rPr>
        <sz val="11"/>
        <color theme="1"/>
        <rFont val="宋体"/>
        <charset val="134"/>
      </rPr>
      <t>步距角</t>
    </r>
    <r>
      <rPr>
        <sz val="11"/>
        <color theme="1"/>
        <rFont val="Tahoma"/>
        <charset val="134"/>
      </rPr>
      <t>1.2</t>
    </r>
    <r>
      <rPr>
        <sz val="11"/>
        <color theme="1"/>
        <rFont val="宋体"/>
        <charset val="134"/>
      </rPr>
      <t>°</t>
    </r>
    <r>
      <rPr>
        <sz val="11"/>
        <color theme="1"/>
        <rFont val="Tahoma"/>
        <charset val="134"/>
      </rPr>
      <t>)</t>
    </r>
    <r>
      <rPr>
        <sz val="11"/>
        <color theme="1"/>
        <rFont val="宋体"/>
        <charset val="134"/>
      </rPr>
      <t>，</t>
    </r>
    <r>
      <rPr>
        <sz val="11"/>
        <color theme="1"/>
        <rFont val="Tahoma"/>
        <charset val="134"/>
      </rPr>
      <t>4</t>
    </r>
    <r>
      <rPr>
        <sz val="11"/>
        <color theme="1"/>
        <rFont val="宋体"/>
        <charset val="134"/>
      </rPr>
      <t>相</t>
    </r>
    <r>
      <rPr>
        <sz val="11"/>
        <color theme="1"/>
        <rFont val="Tahoma"/>
        <charset val="134"/>
      </rPr>
      <t>(</t>
    </r>
    <r>
      <rPr>
        <sz val="11"/>
        <color theme="1"/>
        <rFont val="宋体"/>
        <charset val="134"/>
      </rPr>
      <t>步距角</t>
    </r>
    <r>
      <rPr>
        <sz val="11"/>
        <color theme="1"/>
        <rFont val="Tahoma"/>
        <charset val="134"/>
      </rPr>
      <t>0.9</t>
    </r>
    <r>
      <rPr>
        <sz val="11"/>
        <color theme="1"/>
        <rFont val="宋体"/>
        <charset val="134"/>
      </rPr>
      <t>°</t>
    </r>
    <r>
      <rPr>
        <sz val="11"/>
        <color theme="1"/>
        <rFont val="Tahoma"/>
        <charset val="134"/>
      </rPr>
      <t>)</t>
    </r>
    <r>
      <rPr>
        <sz val="11"/>
        <color theme="1"/>
        <rFont val="宋体"/>
        <charset val="134"/>
      </rPr>
      <t>，</t>
    </r>
    <r>
      <rPr>
        <sz val="11"/>
        <color theme="1"/>
        <rFont val="Tahoma"/>
        <charset val="134"/>
      </rPr>
      <t>5</t>
    </r>
    <r>
      <rPr>
        <sz val="11"/>
        <color theme="1"/>
        <rFont val="宋体"/>
        <charset val="134"/>
      </rPr>
      <t>相</t>
    </r>
    <r>
      <rPr>
        <sz val="11"/>
        <color theme="1"/>
        <rFont val="Tahoma"/>
        <charset val="134"/>
      </rPr>
      <t>(</t>
    </r>
    <r>
      <rPr>
        <sz val="11"/>
        <color theme="1"/>
        <rFont val="宋体"/>
        <charset val="134"/>
      </rPr>
      <t>步距角</t>
    </r>
    <r>
      <rPr>
        <sz val="11"/>
        <color theme="1"/>
        <rFont val="Tahoma"/>
        <charset val="134"/>
      </rPr>
      <t>0.72</t>
    </r>
    <r>
      <rPr>
        <sz val="11"/>
        <color theme="1"/>
        <rFont val="宋体"/>
        <charset val="134"/>
      </rPr>
      <t>°</t>
    </r>
    <r>
      <rPr>
        <sz val="11"/>
        <color theme="1"/>
        <rFont val="Tahoma"/>
        <charset val="134"/>
      </rPr>
      <t xml:space="preserve">) </t>
    </r>
    <r>
      <rPr>
        <sz val="11"/>
        <color theme="1"/>
        <rFont val="宋体"/>
        <charset val="134"/>
      </rPr>
      <t xml:space="preserve">
</t>
    </r>
    <r>
      <rPr>
        <sz val="11"/>
        <color theme="1"/>
        <rFont val="Tahoma"/>
        <charset val="134"/>
      </rPr>
      <t xml:space="preserve">    5</t>
    </r>
    <r>
      <rPr>
        <sz val="11"/>
        <color theme="1"/>
        <rFont val="宋体"/>
        <charset val="134"/>
      </rPr>
      <t>，细分精度注意事项，当细分等级大于</t>
    </r>
    <r>
      <rPr>
        <sz val="11"/>
        <color theme="1"/>
        <rFont val="Tahoma"/>
        <charset val="134"/>
      </rPr>
      <t>4</t>
    </r>
    <r>
      <rPr>
        <sz val="11"/>
        <color theme="1"/>
        <rFont val="宋体"/>
        <charset val="134"/>
      </rPr>
      <t xml:space="preserve">后，步距角的精度不能保证，最好换用相数更多（即步距角更小）的步进电机
</t>
    </r>
    <r>
      <rPr>
        <sz val="11"/>
        <color theme="1"/>
        <rFont val="Tahoma"/>
        <charset val="134"/>
      </rPr>
      <t xml:space="preserve">    4</t>
    </r>
    <r>
      <rPr>
        <sz val="11"/>
        <color theme="1"/>
        <rFont val="宋体"/>
        <charset val="134"/>
      </rPr>
      <t xml:space="preserve">，如何克服两相混合式步进电机在低速运转时的振动和噪声：
</t>
    </r>
    <r>
      <rPr>
        <sz val="11"/>
        <color theme="1"/>
        <rFont val="Tahoma"/>
        <charset val="134"/>
      </rPr>
      <t>A.</t>
    </r>
    <r>
      <rPr>
        <sz val="11"/>
        <color theme="1"/>
        <rFont val="宋体"/>
        <charset val="134"/>
      </rPr>
      <t>如步进电机正好工作在共振区</t>
    </r>
    <r>
      <rPr>
        <sz val="11"/>
        <color theme="1"/>
        <rFont val="Tahoma"/>
        <charset val="134"/>
      </rPr>
      <t>,</t>
    </r>
    <r>
      <rPr>
        <sz val="11"/>
        <color theme="1"/>
        <rFont val="宋体"/>
        <charset val="134"/>
      </rPr>
      <t>可通过</t>
    </r>
    <r>
      <rPr>
        <sz val="11"/>
        <color rgb="FFFF0000"/>
        <rFont val="宋体"/>
        <charset val="134"/>
      </rPr>
      <t>改变减速比</t>
    </r>
    <r>
      <rPr>
        <sz val="11"/>
        <color theme="1"/>
        <rFont val="宋体"/>
        <charset val="134"/>
      </rPr>
      <t>等机械传动避开共振区</t>
    </r>
    <r>
      <rPr>
        <sz val="11"/>
        <color theme="1"/>
        <rFont val="Tahoma"/>
        <charset val="134"/>
      </rPr>
      <t>; 
B.</t>
    </r>
    <r>
      <rPr>
        <sz val="11"/>
        <color theme="1"/>
        <rFont val="宋体"/>
        <charset val="134"/>
      </rPr>
      <t>采用带有</t>
    </r>
    <r>
      <rPr>
        <sz val="11"/>
        <color rgb="FFFF0000"/>
        <rFont val="宋体"/>
        <charset val="134"/>
      </rPr>
      <t>细分功能的驱动器</t>
    </r>
    <r>
      <rPr>
        <sz val="11"/>
        <color theme="1"/>
        <rFont val="Tahoma"/>
        <charset val="134"/>
      </rPr>
      <t>,</t>
    </r>
    <r>
      <rPr>
        <sz val="11"/>
        <color theme="1"/>
        <rFont val="宋体"/>
        <charset val="134"/>
      </rPr>
      <t>这是最常用的</t>
    </r>
    <r>
      <rPr>
        <sz val="11"/>
        <color theme="1"/>
        <rFont val="Tahoma"/>
        <charset val="134"/>
      </rPr>
      <t>,</t>
    </r>
    <r>
      <rPr>
        <sz val="11"/>
        <color theme="1"/>
        <rFont val="宋体"/>
        <charset val="134"/>
      </rPr>
      <t>最简便的方法</t>
    </r>
    <r>
      <rPr>
        <sz val="11"/>
        <color theme="1"/>
        <rFont val="Tahoma"/>
        <charset val="134"/>
      </rPr>
      <t>; 
C.</t>
    </r>
    <r>
      <rPr>
        <sz val="11"/>
        <color theme="1"/>
        <rFont val="宋体"/>
        <charset val="134"/>
      </rPr>
      <t>换成步距角更小的步进电机</t>
    </r>
    <r>
      <rPr>
        <sz val="11"/>
        <color theme="1"/>
        <rFont val="Tahoma"/>
        <charset val="134"/>
      </rPr>
      <t>,</t>
    </r>
    <r>
      <rPr>
        <sz val="11"/>
        <color theme="1"/>
        <rFont val="宋体"/>
        <charset val="134"/>
      </rPr>
      <t>如三相或五相步进电机</t>
    </r>
    <r>
      <rPr>
        <sz val="11"/>
        <color theme="1"/>
        <rFont val="Tahoma"/>
        <charset val="134"/>
      </rPr>
      <t>; 
D.</t>
    </r>
    <r>
      <rPr>
        <sz val="11"/>
        <color theme="1"/>
        <rFont val="宋体"/>
        <charset val="134"/>
      </rPr>
      <t>换成交流伺服电机</t>
    </r>
    <r>
      <rPr>
        <sz val="11"/>
        <color theme="1"/>
        <rFont val="Tahoma"/>
        <charset val="134"/>
      </rPr>
      <t>,</t>
    </r>
    <r>
      <rPr>
        <sz val="11"/>
        <color theme="1"/>
        <rFont val="宋体"/>
        <charset val="134"/>
      </rPr>
      <t>几乎可以完全克服震动和噪声</t>
    </r>
    <r>
      <rPr>
        <sz val="11"/>
        <color theme="1"/>
        <rFont val="Tahoma"/>
        <charset val="134"/>
      </rPr>
      <t>,</t>
    </r>
    <r>
      <rPr>
        <sz val="11"/>
        <color theme="1"/>
        <rFont val="宋体"/>
        <charset val="134"/>
      </rPr>
      <t>但成本较高</t>
    </r>
    <r>
      <rPr>
        <sz val="11"/>
        <color theme="1"/>
        <rFont val="Tahoma"/>
        <charset val="134"/>
      </rPr>
      <t>; 
E.</t>
    </r>
    <r>
      <rPr>
        <sz val="11"/>
        <color theme="1"/>
        <rFont val="宋体"/>
        <charset val="134"/>
      </rPr>
      <t>在电机轴上加磁性阻尼器</t>
    </r>
    <r>
      <rPr>
        <sz val="11"/>
        <color theme="1"/>
        <rFont val="Tahoma"/>
        <charset val="134"/>
      </rPr>
      <t>,</t>
    </r>
    <r>
      <rPr>
        <sz val="11"/>
        <color theme="1"/>
        <rFont val="宋体"/>
        <charset val="134"/>
      </rPr>
      <t>市场上已有这种产品</t>
    </r>
    <r>
      <rPr>
        <sz val="11"/>
        <color theme="1"/>
        <rFont val="Tahoma"/>
        <charset val="134"/>
      </rPr>
      <t>,</t>
    </r>
    <r>
      <rPr>
        <sz val="11"/>
        <color theme="1"/>
        <rFont val="宋体"/>
        <charset val="134"/>
      </rPr>
      <t>但机械结构改变较大</t>
    </r>
    <r>
      <rPr>
        <sz val="11"/>
        <color theme="1"/>
        <rFont val="Tahoma"/>
        <charset val="134"/>
      </rPr>
      <t>.</t>
    </r>
  </si>
  <si>
    <r>
      <rPr>
        <sz val="12"/>
        <color theme="1"/>
        <rFont val="宋体"/>
        <charset val="134"/>
      </rPr>
      <t>文档信息
编写：煜宸
参考：《步进电机选型计算》</t>
    </r>
    <r>
      <rPr>
        <sz val="12"/>
        <color theme="1"/>
        <rFont val="Tahoma"/>
        <charset val="134"/>
      </rPr>
      <t>——(</t>
    </r>
    <r>
      <rPr>
        <sz val="12"/>
        <color theme="1"/>
        <rFont val="宋体"/>
        <charset val="134"/>
      </rPr>
      <t>前桥教育</t>
    </r>
    <r>
      <rPr>
        <sz val="12"/>
        <color theme="1"/>
        <rFont val="Tahoma"/>
        <charset val="134"/>
      </rPr>
      <t xml:space="preserve">) </t>
    </r>
    <r>
      <rPr>
        <sz val="12"/>
        <color theme="1"/>
        <rFont val="宋体"/>
        <charset val="134"/>
      </rPr>
      <t xml:space="preserve">宣言
</t>
    </r>
    <r>
      <rPr>
        <sz val="12"/>
        <color theme="1"/>
        <rFont val="Tahoma"/>
        <charset val="134"/>
      </rPr>
      <t xml:space="preserve">         </t>
    </r>
    <r>
      <rPr>
        <sz val="12"/>
        <color theme="1"/>
        <rFont val="宋体"/>
        <charset val="134"/>
      </rPr>
      <t xml:space="preserve">《步进电机常识与选型计算》——小丸子教育
</t>
    </r>
    <r>
      <rPr>
        <sz val="12"/>
        <color theme="1"/>
        <rFont val="Tahoma"/>
        <charset val="134"/>
      </rPr>
      <t xml:space="preserve">         </t>
    </r>
    <r>
      <rPr>
        <sz val="12"/>
        <color theme="1"/>
        <rFont val="宋体"/>
        <charset val="134"/>
      </rPr>
      <t xml:space="preserve">《步进电机及驱动器讲座》——雷赛科技
</t>
    </r>
    <r>
      <rPr>
        <sz val="12"/>
        <color theme="1"/>
        <rFont val="Tahoma"/>
        <charset val="134"/>
      </rPr>
      <t xml:space="preserve">         </t>
    </r>
    <r>
      <rPr>
        <sz val="12"/>
        <color theme="1"/>
        <rFont val="宋体"/>
        <charset val="134"/>
      </rPr>
      <t>《步进电机选型力矩</t>
    </r>
    <r>
      <rPr>
        <sz val="12"/>
        <color theme="1"/>
        <rFont val="Tahoma"/>
        <charset val="134"/>
      </rPr>
      <t>(</t>
    </r>
    <r>
      <rPr>
        <sz val="12"/>
        <color theme="1"/>
        <rFont val="宋体"/>
        <charset val="134"/>
      </rPr>
      <t>功率</t>
    </r>
    <r>
      <rPr>
        <sz val="12"/>
        <color theme="1"/>
        <rFont val="Tahoma"/>
        <charset val="134"/>
      </rPr>
      <t>)</t>
    </r>
    <r>
      <rPr>
        <sz val="12"/>
        <color theme="1"/>
        <rFont val="宋体"/>
        <charset val="134"/>
      </rPr>
      <t xml:space="preserve">计算公式》——作者不详，但是很全面
</t>
    </r>
    <r>
      <rPr>
        <sz val="12"/>
        <color theme="1"/>
        <rFont val="Tahoma"/>
        <charset val="134"/>
      </rPr>
      <t xml:space="preserve">         </t>
    </r>
    <r>
      <rPr>
        <sz val="12"/>
        <color theme="1"/>
        <rFont val="宋体"/>
        <charset val="134"/>
      </rPr>
      <t xml:space="preserve">《松下伺服电机选型》——松下
</t>
    </r>
    <r>
      <rPr>
        <sz val="12"/>
        <color theme="1"/>
        <rFont val="Tahoma"/>
        <charset val="134"/>
      </rPr>
      <t xml:space="preserve">         </t>
    </r>
    <r>
      <rPr>
        <sz val="12"/>
        <color theme="1"/>
        <rFont val="宋体"/>
        <charset val="134"/>
      </rPr>
      <t>《常用机构的转动惯量与扭矩的计算》——作者不详</t>
    </r>
    <r>
      <rPr>
        <sz val="12"/>
        <color theme="1"/>
        <rFont val="Tahoma"/>
        <charset val="134"/>
      </rPr>
      <t xml:space="preserve">                                                                                                                                                                       </t>
    </r>
    <r>
      <rPr>
        <sz val="12"/>
        <color theme="1"/>
        <rFont val="宋体"/>
        <charset val="134"/>
      </rPr>
      <t>更新日志：</t>
    </r>
    <r>
      <rPr>
        <sz val="12"/>
        <color theme="1"/>
        <rFont val="Tahoma"/>
        <charset val="134"/>
      </rPr>
      <t>2018.8.21</t>
    </r>
    <r>
      <rPr>
        <sz val="12"/>
        <color theme="1"/>
        <rFont val="宋体"/>
        <charset val="134"/>
      </rPr>
      <t xml:space="preserve">完成初稿；
</t>
    </r>
    <r>
      <rPr>
        <sz val="12"/>
        <color theme="1"/>
        <rFont val="Tahoma"/>
        <charset val="134"/>
      </rPr>
      <t xml:space="preserve">                2018.8.22</t>
    </r>
    <r>
      <rPr>
        <sz val="12"/>
        <color theme="1"/>
        <rFont val="宋体"/>
        <charset val="134"/>
      </rPr>
      <t>更正《电机或减速机连接丝杆》中力矩计算公式；</t>
    </r>
    <r>
      <rPr>
        <sz val="12"/>
        <color theme="1"/>
        <rFont val="Tahoma"/>
        <charset val="134"/>
      </rPr>
      <t xml:space="preserve"> 
                2018.9.5</t>
    </r>
    <r>
      <rPr>
        <sz val="12"/>
        <color theme="1"/>
        <rFont val="宋体"/>
        <charset val="134"/>
      </rPr>
      <t>更正所有公式，并说明简易算法和标准算法安全系数取值。</t>
    </r>
    <r>
      <rPr>
        <sz val="12"/>
        <color theme="1"/>
        <rFont val="Tahoma"/>
        <charset val="134"/>
      </rPr>
      <t xml:space="preserve"> </t>
    </r>
  </si>
  <si>
    <t>凸轮分割器选型向导合集(以三共和正名凸轮分割器为例)</t>
  </si>
  <si>
    <t>直连负载时</t>
  </si>
  <si>
    <r>
      <rPr>
        <sz val="11"/>
        <color theme="1"/>
        <rFont val="宋体"/>
        <charset val="134"/>
      </rPr>
      <t>表</t>
    </r>
    <r>
      <rPr>
        <sz val="11"/>
        <color theme="1"/>
        <rFont val="Tahoma"/>
        <charset val="134"/>
      </rPr>
      <t xml:space="preserve">1 </t>
    </r>
    <r>
      <rPr>
        <sz val="11"/>
        <color theme="1"/>
        <rFont val="宋体"/>
        <charset val="134"/>
      </rPr>
      <t>三共凸轮分割器工位分割数和分度角</t>
    </r>
  </si>
  <si>
    <t>正名凸轮分割器工位分割数</t>
  </si>
  <si>
    <r>
      <rPr>
        <sz val="11"/>
        <color theme="1"/>
        <rFont val="宋体"/>
        <charset val="134"/>
      </rPr>
      <t>生产节拍</t>
    </r>
    <r>
      <rPr>
        <sz val="11"/>
        <color theme="1"/>
        <rFont val="Tahoma"/>
        <charset val="134"/>
      </rPr>
      <t>(</t>
    </r>
    <r>
      <rPr>
        <sz val="11"/>
        <color theme="1"/>
        <rFont val="宋体"/>
        <charset val="134"/>
      </rPr>
      <t>时间</t>
    </r>
    <r>
      <rPr>
        <sz val="11"/>
        <color theme="1"/>
        <rFont val="Tahoma"/>
        <charset val="134"/>
      </rPr>
      <t>/</t>
    </r>
    <r>
      <rPr>
        <sz val="11"/>
        <color theme="1"/>
        <rFont val="宋体"/>
        <charset val="134"/>
      </rPr>
      <t>生产量</t>
    </r>
    <r>
      <rPr>
        <sz val="11"/>
        <color theme="1"/>
        <rFont val="Tahoma"/>
        <charset val="134"/>
      </rPr>
      <t>)</t>
    </r>
  </si>
  <si>
    <r>
      <rPr>
        <sz val="11"/>
        <color theme="1"/>
        <rFont val="宋体"/>
        <charset val="134"/>
      </rPr>
      <t>工位停顿时间</t>
    </r>
    <r>
      <rPr>
        <sz val="11"/>
        <color theme="1"/>
        <rFont val="Tahoma"/>
        <charset val="134"/>
      </rPr>
      <t>(s)</t>
    </r>
  </si>
  <si>
    <t>工位数</t>
  </si>
  <si>
    <r>
      <rPr>
        <sz val="11"/>
        <color theme="1"/>
        <rFont val="Tahoma"/>
        <charset val="134"/>
      </rPr>
      <t>2</t>
    </r>
    <r>
      <rPr>
        <sz val="11"/>
        <color theme="1"/>
        <rFont val="宋体"/>
        <charset val="134"/>
      </rPr>
      <t>，确定分度时间和分度角</t>
    </r>
  </si>
  <si>
    <t>分度时间(s)</t>
  </si>
  <si>
    <r>
      <rPr>
        <sz val="11"/>
        <color theme="1"/>
        <rFont val="宋体"/>
        <charset val="134"/>
      </rPr>
      <t>最大分度角</t>
    </r>
    <r>
      <rPr>
        <sz val="11"/>
        <color theme="1"/>
        <rFont val="Tahoma"/>
        <charset val="134"/>
      </rPr>
      <t>(°)</t>
    </r>
  </si>
  <si>
    <r>
      <rPr>
        <sz val="11"/>
        <color theme="1"/>
        <rFont val="宋体"/>
        <charset val="134"/>
      </rPr>
      <t>选择分度角</t>
    </r>
    <r>
      <rPr>
        <sz val="11"/>
        <color theme="1"/>
        <rFont val="Tahoma"/>
        <charset val="134"/>
      </rPr>
      <t>θ(°)</t>
    </r>
  </si>
  <si>
    <r>
      <rPr>
        <sz val="11"/>
        <color theme="1"/>
        <rFont val="Tahoma"/>
        <charset val="134"/>
      </rPr>
      <t>3</t>
    </r>
    <r>
      <rPr>
        <sz val="11"/>
        <color theme="1"/>
        <rFont val="宋体"/>
        <charset val="134"/>
      </rPr>
      <t>，转矩与选型</t>
    </r>
  </si>
  <si>
    <r>
      <rPr>
        <sz val="11"/>
        <color theme="1"/>
        <rFont val="宋体"/>
        <charset val="134"/>
      </rPr>
      <t>分割器输入轴转速</t>
    </r>
    <r>
      <rPr>
        <sz val="11"/>
        <color theme="1"/>
        <rFont val="Tahoma"/>
        <charset val="134"/>
      </rPr>
      <t>n0(r/s)</t>
    </r>
  </si>
  <si>
    <t>凸轮曲线类型</t>
  </si>
  <si>
    <t>修正正弦曲线</t>
  </si>
  <si>
    <t>多用修正正弦曲线</t>
  </si>
  <si>
    <r>
      <rPr>
        <sz val="11"/>
        <color theme="1"/>
        <rFont val="宋体"/>
        <charset val="134"/>
      </rPr>
      <t>最大加速度</t>
    </r>
    <r>
      <rPr>
        <sz val="11"/>
        <color theme="1"/>
        <rFont val="Tahoma"/>
        <charset val="134"/>
      </rPr>
      <t>Am</t>
    </r>
  </si>
  <si>
    <r>
      <rPr>
        <sz val="11"/>
        <color theme="1"/>
        <rFont val="宋体"/>
        <charset val="134"/>
      </rPr>
      <t>最大扭力系数</t>
    </r>
    <r>
      <rPr>
        <sz val="11"/>
        <color theme="1"/>
        <rFont val="Tahoma"/>
        <charset val="134"/>
      </rPr>
      <t>Qm</t>
    </r>
  </si>
  <si>
    <r>
      <rPr>
        <sz val="11"/>
        <color theme="1"/>
        <rFont val="Tahoma"/>
        <charset val="134"/>
      </rPr>
      <t>输出轴最大角加速度α(rad/s</t>
    </r>
    <r>
      <rPr>
        <vertAlign val="superscript"/>
        <sz val="12"/>
        <color theme="1"/>
        <rFont val="宋体"/>
        <charset val="134"/>
      </rPr>
      <t>2</t>
    </r>
    <r>
      <rPr>
        <sz val="11"/>
        <color theme="1"/>
        <rFont val="宋体"/>
        <charset val="134"/>
      </rPr>
      <t>)</t>
    </r>
  </si>
  <si>
    <r>
      <rPr>
        <sz val="11"/>
        <color theme="1"/>
        <rFont val="Tahoma"/>
        <charset val="134"/>
      </rPr>
      <t>72</t>
    </r>
    <r>
      <rPr>
        <sz val="11"/>
        <color theme="1"/>
        <rFont val="宋体"/>
        <charset val="134"/>
        <scheme val="minor"/>
      </rPr>
      <t>π</t>
    </r>
    <r>
      <rPr>
        <sz val="11"/>
        <color theme="1"/>
        <rFont val="Tahoma"/>
        <charset val="134"/>
      </rPr>
      <t>Am/s*(n0/θ)</t>
    </r>
    <r>
      <rPr>
        <vertAlign val="superscript"/>
        <sz val="11"/>
        <color theme="1"/>
        <rFont val="宋体"/>
        <charset val="134"/>
      </rPr>
      <t>2</t>
    </r>
  </si>
  <si>
    <r>
      <rPr>
        <sz val="11"/>
        <color theme="1"/>
        <rFont val="宋体"/>
        <charset val="134"/>
      </rPr>
      <t>负载</t>
    </r>
    <r>
      <rPr>
        <sz val="11"/>
        <color theme="1"/>
        <rFont val="Tahoma"/>
        <charset val="134"/>
      </rPr>
      <t>(</t>
    </r>
    <r>
      <rPr>
        <sz val="11"/>
        <color theme="1"/>
        <rFont val="宋体"/>
        <charset val="134"/>
      </rPr>
      <t>含转盘</t>
    </r>
    <r>
      <rPr>
        <sz val="11"/>
        <color theme="1"/>
        <rFont val="Tahoma"/>
        <charset val="134"/>
      </rPr>
      <t>)</t>
    </r>
    <r>
      <rPr>
        <sz val="11"/>
        <color theme="1"/>
        <rFont val="宋体"/>
        <charset val="134"/>
      </rPr>
      <t>惯量</t>
    </r>
    <r>
      <rPr>
        <sz val="11"/>
        <color theme="1"/>
        <rFont val="Tahoma"/>
        <charset val="134"/>
      </rPr>
      <t>J(kg.m</t>
    </r>
    <r>
      <rPr>
        <vertAlign val="superscript"/>
        <sz val="12"/>
        <color theme="1"/>
        <rFont val="Tahoma"/>
        <charset val="134"/>
      </rPr>
      <t>2</t>
    </r>
    <r>
      <rPr>
        <sz val="11"/>
        <color theme="1"/>
        <rFont val="Tahoma"/>
        <charset val="134"/>
      </rPr>
      <t>)</t>
    </r>
  </si>
  <si>
    <r>
      <rPr>
        <sz val="11"/>
        <color theme="1"/>
        <rFont val="宋体"/>
        <charset val="134"/>
      </rPr>
      <t>分割器输出轴惯性转矩</t>
    </r>
    <r>
      <rPr>
        <sz val="11"/>
        <color theme="1"/>
        <rFont val="Tahoma"/>
        <charset val="134"/>
      </rPr>
      <t>Tj=Jα(N.m)</t>
    </r>
  </si>
  <si>
    <t>Tj=Jα</t>
  </si>
  <si>
    <t>表2 凸轮曲线参数(注:负载达100kg以上属于低速种负荷，负载1kg以下可以选择高速轻负荷)</t>
  </si>
  <si>
    <t>转矩安全系数K</t>
  </si>
  <si>
    <t>建议取1.5</t>
  </si>
  <si>
    <r>
      <rPr>
        <sz val="11"/>
        <color theme="1"/>
        <rFont val="宋体"/>
        <charset val="134"/>
      </rPr>
      <t>负载转矩</t>
    </r>
    <r>
      <rPr>
        <sz val="11"/>
        <color theme="1"/>
        <rFont val="Tahoma"/>
        <charset val="134"/>
      </rPr>
      <t>Te=KTj(N.m)</t>
    </r>
  </si>
  <si>
    <t>凸轮分割器规格</t>
  </si>
  <si>
    <t>6D</t>
  </si>
  <si>
    <t>凸轮分割器输出转矩</t>
  </si>
  <si>
    <r>
      <rPr>
        <sz val="11"/>
        <color theme="1"/>
        <rFont val="宋体"/>
        <charset val="134"/>
      </rPr>
      <t>凸轮输入轴转矩</t>
    </r>
    <r>
      <rPr>
        <sz val="11"/>
        <color theme="1"/>
        <rFont val="Tahoma"/>
        <charset val="134"/>
      </rPr>
      <t>Tc(N.m)</t>
    </r>
  </si>
  <si>
    <t>Tc=Qm(360/s/θ)Te</t>
  </si>
  <si>
    <t>间接传动时</t>
  </si>
  <si>
    <r>
      <rPr>
        <sz val="11"/>
        <color theme="1"/>
        <rFont val="宋体"/>
        <charset val="134"/>
      </rPr>
      <t>表</t>
    </r>
    <r>
      <rPr>
        <sz val="11"/>
        <color theme="1"/>
        <rFont val="Tahoma"/>
        <charset val="134"/>
      </rPr>
      <t>3 THK</t>
    </r>
    <r>
      <rPr>
        <sz val="11"/>
        <color theme="1"/>
        <rFont val="宋体"/>
        <charset val="134"/>
      </rPr>
      <t>凸轮分割器参数截图</t>
    </r>
  </si>
  <si>
    <t>要求产品工位数</t>
  </si>
  <si>
    <r>
      <rPr>
        <sz val="11"/>
        <color theme="1"/>
        <rFont val="宋体"/>
        <charset val="134"/>
      </rPr>
      <t>分割器输出减速比</t>
    </r>
    <r>
      <rPr>
        <sz val="11"/>
        <color theme="1"/>
        <rFont val="Tahoma"/>
        <charset val="134"/>
      </rPr>
      <t>i(Z2/Z1</t>
    </r>
    <r>
      <rPr>
        <sz val="11"/>
        <color theme="1"/>
        <rFont val="宋体"/>
        <charset val="134"/>
      </rPr>
      <t>或</t>
    </r>
    <r>
      <rPr>
        <sz val="11"/>
        <color theme="1"/>
        <rFont val="Tahoma"/>
        <charset val="134"/>
      </rPr>
      <t>d2/d1)</t>
    </r>
  </si>
  <si>
    <t>所需最小分割数s0</t>
  </si>
  <si>
    <t>实际产品工位数</t>
  </si>
  <si>
    <r>
      <rPr>
        <sz val="11"/>
        <color theme="1"/>
        <rFont val="宋体"/>
        <charset val="134"/>
      </rPr>
      <t>负载</t>
    </r>
    <r>
      <rPr>
        <sz val="11"/>
        <color theme="1"/>
        <rFont val="Tahoma"/>
        <charset val="134"/>
      </rPr>
      <t>(</t>
    </r>
    <r>
      <rPr>
        <sz val="11"/>
        <color theme="1"/>
        <rFont val="宋体"/>
        <charset val="134"/>
      </rPr>
      <t>含大齿轮</t>
    </r>
    <r>
      <rPr>
        <sz val="11"/>
        <color theme="1"/>
        <rFont val="Tahoma"/>
        <charset val="134"/>
      </rPr>
      <t>)</t>
    </r>
    <r>
      <rPr>
        <sz val="11"/>
        <color theme="1"/>
        <rFont val="宋体"/>
        <charset val="134"/>
      </rPr>
      <t>惯量</t>
    </r>
    <r>
      <rPr>
        <sz val="11"/>
        <color theme="1"/>
        <rFont val="Tahoma"/>
        <charset val="134"/>
      </rPr>
      <t>J2(kg.m2)</t>
    </r>
  </si>
  <si>
    <r>
      <rPr>
        <sz val="11"/>
        <color theme="1"/>
        <rFont val="宋体"/>
        <charset val="134"/>
      </rPr>
      <t>在</t>
    </r>
    <r>
      <rPr>
        <sz val="11"/>
        <color theme="1"/>
        <rFont val="Tahoma"/>
        <charset val="134"/>
      </rPr>
      <t>SW</t>
    </r>
    <r>
      <rPr>
        <sz val="11"/>
        <color theme="1"/>
        <rFont val="宋体"/>
        <charset val="134"/>
      </rPr>
      <t>中查惯性张量</t>
    </r>
  </si>
  <si>
    <r>
      <rPr>
        <sz val="11"/>
        <color theme="1"/>
        <rFont val="宋体"/>
        <charset val="134"/>
      </rPr>
      <t>小齿轮惯量</t>
    </r>
    <r>
      <rPr>
        <sz val="11"/>
        <color theme="1"/>
        <rFont val="Tahoma"/>
        <charset val="134"/>
      </rPr>
      <t>J1(kg.m</t>
    </r>
    <r>
      <rPr>
        <vertAlign val="superscript"/>
        <sz val="12"/>
        <color theme="1"/>
        <rFont val="Tahoma"/>
        <charset val="134"/>
      </rPr>
      <t>2</t>
    </r>
    <r>
      <rPr>
        <sz val="11"/>
        <color theme="1"/>
        <rFont val="Tahoma"/>
        <charset val="134"/>
      </rPr>
      <t>)</t>
    </r>
  </si>
  <si>
    <r>
      <rPr>
        <sz val="11"/>
        <color theme="1"/>
        <rFont val="宋体"/>
        <charset val="134"/>
      </rPr>
      <t>在</t>
    </r>
    <r>
      <rPr>
        <sz val="11"/>
        <color theme="1"/>
        <rFont val="Tahoma"/>
        <charset val="134"/>
      </rPr>
      <t>SW</t>
    </r>
    <r>
      <rPr>
        <sz val="11"/>
        <color theme="1"/>
        <rFont val="宋体"/>
        <charset val="134"/>
      </rPr>
      <t>或《转动惯量》中查询</t>
    </r>
  </si>
  <si>
    <t>转换到凸轮分割器输出轴惯量J(kg.m2)</t>
  </si>
  <si>
    <r>
      <rPr>
        <sz val="11"/>
        <color theme="1"/>
        <rFont val="Tahoma"/>
        <charset val="134"/>
      </rPr>
      <t>J=J1+J2/i</t>
    </r>
    <r>
      <rPr>
        <vertAlign val="superscript"/>
        <sz val="12"/>
        <color theme="1"/>
        <rFont val="Tahoma"/>
        <charset val="134"/>
      </rPr>
      <t>2</t>
    </r>
  </si>
  <si>
    <r>
      <rPr>
        <sz val="11"/>
        <color theme="1"/>
        <rFont val="宋体"/>
        <charset val="134"/>
      </rPr>
      <t>表</t>
    </r>
    <r>
      <rPr>
        <sz val="11"/>
        <color theme="1"/>
        <rFont val="Tahoma"/>
        <charset val="134"/>
      </rPr>
      <t xml:space="preserve">4 </t>
    </r>
    <r>
      <rPr>
        <sz val="11"/>
        <color theme="1"/>
        <rFont val="宋体"/>
        <charset val="134"/>
      </rPr>
      <t>东方马达</t>
    </r>
    <r>
      <rPr>
        <sz val="11"/>
        <color theme="1"/>
        <rFont val="Tahoma"/>
        <charset val="134"/>
      </rPr>
      <t>K2</t>
    </r>
    <r>
      <rPr>
        <sz val="11"/>
        <color theme="1"/>
        <rFont val="宋体"/>
        <charset val="134"/>
      </rPr>
      <t>系列</t>
    </r>
    <r>
      <rPr>
        <sz val="11"/>
        <color theme="1"/>
        <rFont val="Tahoma"/>
        <charset val="134"/>
      </rPr>
      <t>40w</t>
    </r>
    <r>
      <rPr>
        <sz val="11"/>
        <color theme="1"/>
        <rFont val="宋体"/>
        <charset val="134"/>
      </rPr>
      <t>电机截图</t>
    </r>
  </si>
  <si>
    <t>同步带/链传动时</t>
  </si>
  <si>
    <r>
      <rPr>
        <sz val="11"/>
        <color theme="1"/>
        <rFont val="宋体"/>
        <charset val="134"/>
      </rPr>
      <t>在位工件总重量</t>
    </r>
    <r>
      <rPr>
        <sz val="11"/>
        <color theme="1"/>
        <rFont val="Tahoma"/>
        <charset val="134"/>
      </rPr>
      <t>m1(kg)</t>
    </r>
  </si>
  <si>
    <r>
      <rPr>
        <sz val="11"/>
        <color theme="1"/>
        <rFont val="宋体"/>
        <charset val="134"/>
      </rPr>
      <t>夹具工装托盘总重量</t>
    </r>
    <r>
      <rPr>
        <sz val="11"/>
        <color theme="1"/>
        <rFont val="Tahoma"/>
        <charset val="134"/>
      </rPr>
      <t>m0(kg)</t>
    </r>
  </si>
  <si>
    <t>轨道摩擦系数μ</t>
  </si>
  <si>
    <r>
      <rPr>
        <sz val="11"/>
        <color theme="1"/>
        <rFont val="宋体"/>
        <charset val="134"/>
      </rPr>
      <t>外力</t>
    </r>
    <r>
      <rPr>
        <sz val="11"/>
        <color theme="1"/>
        <rFont val="Tahoma"/>
        <charset val="134"/>
      </rPr>
      <t>Fa(N</t>
    </r>
    <r>
      <rPr>
        <sz val="11"/>
        <color theme="1"/>
        <rFont val="宋体"/>
        <charset val="134"/>
      </rPr>
      <t>，阻碍运动为正</t>
    </r>
    <r>
      <rPr>
        <sz val="11"/>
        <color theme="1"/>
        <rFont val="Tahoma"/>
        <charset val="134"/>
      </rPr>
      <t>)</t>
    </r>
  </si>
  <si>
    <r>
      <rPr>
        <sz val="11"/>
        <color theme="1"/>
        <rFont val="宋体"/>
        <charset val="134"/>
      </rPr>
      <t>从动轮</t>
    </r>
    <r>
      <rPr>
        <sz val="11"/>
        <color theme="1"/>
        <rFont val="Tahoma"/>
        <charset val="134"/>
      </rPr>
      <t>/</t>
    </r>
    <r>
      <rPr>
        <sz val="11"/>
        <color theme="1"/>
        <rFont val="宋体"/>
        <charset val="134"/>
      </rPr>
      <t>驱动轮减速比</t>
    </r>
    <r>
      <rPr>
        <sz val="11"/>
        <color theme="1"/>
        <rFont val="Tahoma"/>
        <charset val="134"/>
      </rPr>
      <t>i</t>
    </r>
    <r>
      <rPr>
        <sz val="10"/>
        <color theme="1"/>
        <rFont val="Tahoma"/>
        <charset val="134"/>
      </rPr>
      <t>(</t>
    </r>
    <r>
      <rPr>
        <sz val="10"/>
        <color theme="1"/>
        <rFont val="宋体"/>
        <charset val="134"/>
      </rPr>
      <t>如图</t>
    </r>
    <r>
      <rPr>
        <sz val="10"/>
        <color theme="1"/>
        <rFont val="Tahoma"/>
        <charset val="134"/>
      </rPr>
      <t>Φ100/Φ200)</t>
    </r>
  </si>
  <si>
    <r>
      <rPr>
        <sz val="11"/>
        <color theme="1"/>
        <rFont val="宋体"/>
        <charset val="134"/>
      </rPr>
      <t>从动轮</t>
    </r>
    <r>
      <rPr>
        <sz val="11"/>
        <color theme="1"/>
        <rFont val="Tahoma"/>
        <charset val="134"/>
      </rPr>
      <t>/</t>
    </r>
    <r>
      <rPr>
        <sz val="11"/>
        <color theme="1"/>
        <rFont val="宋体"/>
        <charset val="134"/>
      </rPr>
      <t>驱动轮减速器效率</t>
    </r>
    <r>
      <rPr>
        <sz val="11"/>
        <color theme="1"/>
        <rFont val="Tahoma"/>
        <charset val="134"/>
      </rPr>
      <t xml:space="preserve">η0 </t>
    </r>
  </si>
  <si>
    <r>
      <rPr>
        <sz val="11"/>
        <color theme="1"/>
        <rFont val="宋体"/>
        <charset val="134"/>
      </rPr>
      <t>链</t>
    </r>
    <r>
      <rPr>
        <sz val="11"/>
        <color theme="1"/>
        <rFont val="Tahoma"/>
        <charset val="134"/>
      </rPr>
      <t>/</t>
    </r>
    <r>
      <rPr>
        <sz val="11"/>
        <color theme="1"/>
        <rFont val="宋体"/>
        <charset val="134"/>
      </rPr>
      <t>带轮节圆直径</t>
    </r>
    <r>
      <rPr>
        <sz val="11"/>
        <color theme="1"/>
        <rFont val="Tahoma"/>
        <charset val="134"/>
      </rPr>
      <t>2r(mm)</t>
    </r>
  </si>
  <si>
    <r>
      <rPr>
        <sz val="11"/>
        <color rgb="FFFF0000"/>
        <rFont val="Tahoma"/>
        <charset val="134"/>
      </rPr>
      <t>2</t>
    </r>
    <r>
      <rPr>
        <sz val="11"/>
        <color rgb="FFFF0000"/>
        <rFont val="宋体"/>
        <charset val="134"/>
        <scheme val="minor"/>
      </rPr>
      <t>π</t>
    </r>
    <r>
      <rPr>
        <sz val="11"/>
        <color rgb="FFFF0000"/>
        <rFont val="Tahoma"/>
        <charset val="134"/>
      </rPr>
      <t>r</t>
    </r>
    <r>
      <rPr>
        <sz val="11"/>
        <color rgb="FFFF0000"/>
        <rFont val="宋体"/>
        <charset val="134"/>
      </rPr>
      <t>必须≈</t>
    </r>
    <r>
      <rPr>
        <sz val="11"/>
        <color rgb="FFFF0000"/>
        <rFont val="Tahoma"/>
        <charset val="134"/>
      </rPr>
      <t>Pc</t>
    </r>
    <r>
      <rPr>
        <sz val="11"/>
        <color rgb="FFFF0000"/>
        <rFont val="宋体"/>
        <charset val="134"/>
      </rPr>
      <t>的整数倍</t>
    </r>
  </si>
  <si>
    <r>
      <rPr>
        <sz val="11"/>
        <color theme="1"/>
        <rFont val="宋体"/>
        <charset val="134"/>
      </rPr>
      <t>传送带</t>
    </r>
    <r>
      <rPr>
        <sz val="11"/>
        <color theme="1"/>
        <rFont val="Tahoma"/>
        <charset val="134"/>
      </rPr>
      <t>/</t>
    </r>
    <r>
      <rPr>
        <sz val="11"/>
        <color theme="1"/>
        <rFont val="宋体"/>
        <charset val="134"/>
      </rPr>
      <t>链步距</t>
    </r>
    <r>
      <rPr>
        <sz val="11"/>
        <color theme="1"/>
        <rFont val="Tahoma"/>
        <charset val="134"/>
      </rPr>
      <t>Pc(mm)</t>
    </r>
  </si>
  <si>
    <r>
      <rPr>
        <sz val="11"/>
        <color theme="1"/>
        <rFont val="宋体"/>
        <charset val="134"/>
      </rPr>
      <t>带</t>
    </r>
    <r>
      <rPr>
        <sz val="11"/>
        <color theme="1"/>
        <rFont val="Tahoma"/>
        <charset val="134"/>
      </rPr>
      <t>/</t>
    </r>
    <r>
      <rPr>
        <sz val="11"/>
        <color theme="1"/>
        <rFont val="宋体"/>
        <charset val="134"/>
      </rPr>
      <t>链传动效率</t>
    </r>
    <r>
      <rPr>
        <sz val="11"/>
        <color theme="1"/>
        <rFont val="Tahoma"/>
        <charset val="134"/>
      </rPr>
      <t xml:space="preserve">η1 </t>
    </r>
  </si>
  <si>
    <r>
      <rPr>
        <sz val="11"/>
        <color theme="1"/>
        <rFont val="宋体"/>
        <charset val="134"/>
      </rPr>
      <t>所需分割数</t>
    </r>
    <r>
      <rPr>
        <sz val="11"/>
        <color theme="1"/>
        <rFont val="Tahoma"/>
        <charset val="134"/>
      </rPr>
      <t>s</t>
    </r>
  </si>
  <si>
    <r>
      <rPr>
        <sz val="11"/>
        <color theme="1"/>
        <rFont val="宋体"/>
        <charset val="134"/>
      </rPr>
      <t>对</t>
    </r>
    <r>
      <rPr>
        <sz val="11"/>
        <color theme="1"/>
        <rFont val="Tahoma"/>
        <charset val="134"/>
      </rPr>
      <t>S</t>
    </r>
    <r>
      <rPr>
        <sz val="11"/>
        <color theme="1"/>
        <rFont val="宋体"/>
        <charset val="134"/>
      </rPr>
      <t>取整</t>
    </r>
  </si>
  <si>
    <r>
      <rPr>
        <sz val="11"/>
        <color theme="1"/>
        <rFont val="宋体"/>
        <charset val="134"/>
      </rPr>
      <t>负载折算到主动轮惯量</t>
    </r>
    <r>
      <rPr>
        <sz val="11"/>
        <color theme="1"/>
        <rFont val="Tahoma"/>
        <charset val="134"/>
      </rPr>
      <t>J3(kg.m²)</t>
    </r>
  </si>
  <si>
    <t>mr²/η1</t>
  </si>
  <si>
    <r>
      <rPr>
        <sz val="11"/>
        <color theme="1"/>
        <rFont val="宋体"/>
        <charset val="134"/>
      </rPr>
      <t>链</t>
    </r>
    <r>
      <rPr>
        <sz val="11"/>
        <color theme="1"/>
        <rFont val="Tahoma"/>
        <charset val="134"/>
      </rPr>
      <t>/</t>
    </r>
    <r>
      <rPr>
        <sz val="11"/>
        <color theme="1"/>
        <rFont val="宋体"/>
        <charset val="134"/>
      </rPr>
      <t>带轮组件</t>
    </r>
    <r>
      <rPr>
        <sz val="11"/>
        <color theme="1"/>
        <rFont val="Tahoma"/>
        <charset val="134"/>
      </rPr>
      <t>(</t>
    </r>
    <r>
      <rPr>
        <sz val="11"/>
        <color theme="1"/>
        <rFont val="宋体"/>
        <charset val="134"/>
      </rPr>
      <t>含转轴</t>
    </r>
    <r>
      <rPr>
        <sz val="11"/>
        <color theme="1"/>
        <rFont val="Tahoma"/>
        <charset val="134"/>
      </rPr>
      <t>)</t>
    </r>
    <r>
      <rPr>
        <sz val="11"/>
        <color theme="1"/>
        <rFont val="宋体"/>
        <charset val="134"/>
      </rPr>
      <t>转动惯量</t>
    </r>
    <r>
      <rPr>
        <sz val="11"/>
        <color theme="1"/>
        <rFont val="Tahoma"/>
        <charset val="134"/>
      </rPr>
      <t>J1(kg.m²)</t>
    </r>
  </si>
  <si>
    <t>SW中查询</t>
  </si>
  <si>
    <r>
      <rPr>
        <sz val="11"/>
        <color theme="1"/>
        <rFont val="宋体"/>
        <charset val="134"/>
      </rPr>
      <t>从动轮转动惯量</t>
    </r>
    <r>
      <rPr>
        <sz val="11"/>
        <color theme="1"/>
        <rFont val="Tahoma"/>
        <charset val="134"/>
      </rPr>
      <t>J2(kg.m²)</t>
    </r>
  </si>
  <si>
    <t>图中Φ100的轮</t>
  </si>
  <si>
    <t>折算到分割器输出轴的惯量J"(kg.cm²)</t>
  </si>
  <si>
    <t>(J1+J1/η1+J2+J3)/(i²η0)</t>
  </si>
  <si>
    <r>
      <rPr>
        <sz val="11"/>
        <color theme="1"/>
        <rFont val="宋体"/>
        <charset val="134"/>
      </rPr>
      <t>主动轮转动惯量</t>
    </r>
    <r>
      <rPr>
        <sz val="11"/>
        <color theme="1"/>
        <rFont val="Tahoma"/>
        <charset val="134"/>
      </rPr>
      <t>J‘(kg.m²)</t>
    </r>
  </si>
  <si>
    <t>图中Φ200的轮</t>
  </si>
  <si>
    <t>分割器输出轴所需总惯量J(kg.m²)</t>
  </si>
  <si>
    <t>J=J'=J"</t>
  </si>
  <si>
    <r>
      <rPr>
        <sz val="11"/>
        <color theme="1"/>
        <rFont val="宋体"/>
        <charset val="134"/>
      </rPr>
      <t>输出轴最大角加速度</t>
    </r>
    <r>
      <rPr>
        <sz val="11"/>
        <color theme="1"/>
        <rFont val="Tahoma"/>
        <charset val="134"/>
      </rPr>
      <t>α(rad/s</t>
    </r>
    <r>
      <rPr>
        <vertAlign val="superscript"/>
        <sz val="12"/>
        <color theme="1"/>
        <rFont val="宋体"/>
        <charset val="134"/>
      </rPr>
      <t>2</t>
    </r>
    <r>
      <rPr>
        <sz val="11"/>
        <color theme="1"/>
        <rFont val="宋体"/>
        <charset val="134"/>
      </rPr>
      <t>)</t>
    </r>
  </si>
  <si>
    <r>
      <rPr>
        <sz val="11"/>
        <color theme="1"/>
        <rFont val="宋体"/>
        <charset val="134"/>
      </rPr>
      <t>滑轨摩擦力</t>
    </r>
    <r>
      <rPr>
        <sz val="11"/>
        <color theme="1"/>
        <rFont val="Tahoma"/>
        <charset val="134"/>
      </rPr>
      <t>f(N)</t>
    </r>
  </si>
  <si>
    <t>(m1+0.5m0)gμ</t>
  </si>
  <si>
    <r>
      <rPr>
        <sz val="11"/>
        <color theme="1"/>
        <rFont val="宋体"/>
        <charset val="134"/>
      </rPr>
      <t>摩擦力与外力转矩</t>
    </r>
    <r>
      <rPr>
        <sz val="11"/>
        <color theme="1"/>
        <rFont val="Tahoma"/>
        <charset val="134"/>
      </rPr>
      <t>T</t>
    </r>
    <r>
      <rPr>
        <vertAlign val="subscript"/>
        <sz val="14"/>
        <color theme="1"/>
        <rFont val="Tahoma"/>
        <charset val="134"/>
      </rPr>
      <t>f</t>
    </r>
    <r>
      <rPr>
        <sz val="11"/>
        <color theme="1"/>
        <rFont val="Tahoma"/>
        <charset val="134"/>
      </rPr>
      <t>“</t>
    </r>
  </si>
  <si>
    <t>(f+Fa)r</t>
  </si>
  <si>
    <r>
      <rPr>
        <sz val="11"/>
        <color theme="1"/>
        <rFont val="Tahoma"/>
        <charset val="134"/>
      </rPr>
      <t>Tf"</t>
    </r>
    <r>
      <rPr>
        <sz val="11"/>
        <color theme="1"/>
        <rFont val="宋体"/>
        <charset val="134"/>
      </rPr>
      <t>转换到分割器输出轴</t>
    </r>
    <r>
      <rPr>
        <sz val="11"/>
        <color theme="1"/>
        <rFont val="Tahoma"/>
        <charset val="134"/>
      </rPr>
      <t>T</t>
    </r>
    <r>
      <rPr>
        <vertAlign val="subscript"/>
        <sz val="14"/>
        <color theme="1"/>
        <rFont val="Tahoma"/>
        <charset val="134"/>
      </rPr>
      <t>f</t>
    </r>
  </si>
  <si>
    <t>Tf”/(i*η0*η1)</t>
  </si>
  <si>
    <r>
      <rPr>
        <sz val="11"/>
        <color theme="1"/>
        <rFont val="宋体"/>
        <charset val="134"/>
      </rPr>
      <t>计算转矩</t>
    </r>
    <r>
      <rPr>
        <sz val="11"/>
        <color theme="1"/>
        <rFont val="Tahoma"/>
        <charset val="134"/>
      </rPr>
      <t>T0(N.m)</t>
    </r>
  </si>
  <si>
    <t>T0=Tf+Tj</t>
  </si>
  <si>
    <r>
      <rPr>
        <sz val="11"/>
        <color theme="1"/>
        <rFont val="宋体"/>
        <charset val="134"/>
      </rPr>
      <t>转矩安全系数</t>
    </r>
    <r>
      <rPr>
        <sz val="11"/>
        <color theme="1"/>
        <rFont val="Tahoma"/>
        <charset val="134"/>
      </rPr>
      <t>K</t>
    </r>
  </si>
  <si>
    <t>1.5~2</t>
  </si>
  <si>
    <r>
      <rPr>
        <sz val="11"/>
        <color theme="1"/>
        <rFont val="宋体"/>
        <charset val="134"/>
      </rPr>
      <t>所需分割器输出轴转矩</t>
    </r>
    <r>
      <rPr>
        <sz val="11"/>
        <color theme="1"/>
        <rFont val="Tahoma"/>
        <charset val="134"/>
      </rPr>
      <t>Te(N.m)</t>
    </r>
  </si>
  <si>
    <t>Te=KT0</t>
  </si>
  <si>
    <t>往复摆动时</t>
  </si>
  <si>
    <r>
      <rPr>
        <sz val="11"/>
        <color theme="1"/>
        <rFont val="宋体"/>
        <charset val="134"/>
      </rPr>
      <t>摆臂重</t>
    </r>
    <r>
      <rPr>
        <sz val="11"/>
        <color theme="1"/>
        <rFont val="Tahoma"/>
        <charset val="134"/>
      </rPr>
      <t>m3(kg)</t>
    </r>
  </si>
  <si>
    <r>
      <rPr>
        <sz val="11"/>
        <color theme="1"/>
        <rFont val="宋体"/>
        <charset val="134"/>
      </rPr>
      <t>外力</t>
    </r>
    <r>
      <rPr>
        <sz val="11"/>
        <color theme="1"/>
        <rFont val="Tahoma"/>
        <charset val="134"/>
      </rPr>
      <t>Fa(N</t>
    </r>
    <r>
      <rPr>
        <sz val="11"/>
        <color theme="1"/>
        <rFont val="Tahoma"/>
        <charset val="134"/>
      </rPr>
      <t>)</t>
    </r>
  </si>
  <si>
    <t>行程距离Rp</t>
  </si>
  <si>
    <r>
      <rPr>
        <sz val="11"/>
        <color theme="1"/>
        <rFont val="宋体"/>
        <charset val="134"/>
      </rPr>
      <t>摇摆角度</t>
    </r>
    <r>
      <rPr>
        <sz val="11"/>
        <color theme="1"/>
        <rFont val="Tahoma"/>
        <charset val="134"/>
      </rPr>
      <t>α(°)</t>
    </r>
  </si>
  <si>
    <r>
      <rPr>
        <sz val="11"/>
        <color theme="1"/>
        <rFont val="宋体"/>
        <charset val="134"/>
      </rPr>
      <t>相对分割数</t>
    </r>
    <r>
      <rPr>
        <sz val="11"/>
        <color theme="1"/>
        <rFont val="Tahoma"/>
        <charset val="134"/>
      </rPr>
      <t>Se(</t>
    </r>
    <r>
      <rPr>
        <sz val="11"/>
        <color theme="1"/>
        <rFont val="宋体"/>
        <charset val="134"/>
      </rPr>
      <t>不是工位分割数</t>
    </r>
    <r>
      <rPr>
        <sz val="11"/>
        <color theme="1"/>
        <rFont val="Tahoma"/>
        <charset val="134"/>
      </rPr>
      <t>)</t>
    </r>
  </si>
  <si>
    <r>
      <rPr>
        <sz val="10"/>
        <color theme="1"/>
        <rFont val="宋体"/>
        <charset val="134"/>
      </rPr>
      <t>摆动凸轮分割器没有分割数</t>
    </r>
    <r>
      <rPr>
        <sz val="10"/>
        <color theme="1"/>
        <rFont val="Tahoma"/>
        <charset val="134"/>
      </rPr>
      <t>(</t>
    </r>
    <r>
      <rPr>
        <sz val="10"/>
        <color theme="1"/>
        <rFont val="宋体"/>
        <charset val="134"/>
      </rPr>
      <t>即分割数</t>
    </r>
    <r>
      <rPr>
        <sz val="10"/>
        <color theme="1"/>
        <rFont val="Tahoma"/>
        <charset val="134"/>
      </rPr>
      <t>S=1)</t>
    </r>
  </si>
  <si>
    <r>
      <rPr>
        <sz val="11"/>
        <color theme="1"/>
        <rFont val="宋体"/>
        <charset val="134"/>
      </rPr>
      <t>机械效率</t>
    </r>
    <r>
      <rPr>
        <sz val="11"/>
        <color theme="1"/>
        <rFont val="Tahoma"/>
        <charset val="134"/>
      </rPr>
      <t>η</t>
    </r>
  </si>
  <si>
    <r>
      <rPr>
        <sz val="11"/>
        <color theme="1"/>
        <rFont val="宋体"/>
        <charset val="134"/>
      </rPr>
      <t>摆臂长度</t>
    </r>
    <r>
      <rPr>
        <sz val="11"/>
        <color theme="1"/>
        <rFont val="Tahoma"/>
        <charset val="134"/>
      </rPr>
      <t>L(mm)</t>
    </r>
  </si>
  <si>
    <r>
      <rPr>
        <sz val="11"/>
        <color theme="1"/>
        <rFont val="宋体"/>
        <charset val="134"/>
      </rPr>
      <t>摆臂半径</t>
    </r>
    <r>
      <rPr>
        <sz val="11"/>
        <color theme="1"/>
        <rFont val="Tahoma"/>
        <charset val="134"/>
      </rPr>
      <t>Re(mm)</t>
    </r>
  </si>
  <si>
    <t>Re=0.5L</t>
  </si>
  <si>
    <t>摩擦半径Rf(mm)</t>
  </si>
  <si>
    <r>
      <rPr>
        <sz val="11"/>
        <color theme="1"/>
        <rFont val="Tahoma"/>
        <charset val="134"/>
      </rPr>
      <t>Rf=Rp*Se/(2</t>
    </r>
    <r>
      <rPr>
        <sz val="11"/>
        <color theme="1"/>
        <rFont val="宋体"/>
        <charset val="134"/>
      </rPr>
      <t>π</t>
    </r>
    <r>
      <rPr>
        <sz val="11"/>
        <color theme="1"/>
        <rFont val="Tahoma"/>
        <charset val="134"/>
      </rPr>
      <t>)</t>
    </r>
  </si>
  <si>
    <r>
      <rPr>
        <sz val="11"/>
        <color theme="1"/>
        <rFont val="宋体"/>
        <charset val="134"/>
      </rPr>
      <t>摆臂惯量</t>
    </r>
    <r>
      <rPr>
        <sz val="11"/>
        <color theme="1"/>
        <rFont val="Tahoma"/>
        <charset val="134"/>
      </rPr>
      <t>J2(kg.m²)</t>
    </r>
  </si>
  <si>
    <r>
      <rPr>
        <sz val="11"/>
        <rFont val="宋体"/>
        <charset val="134"/>
      </rPr>
      <t>在《转动惯量中计算》或</t>
    </r>
    <r>
      <rPr>
        <sz val="11"/>
        <rFont val="Tahoma"/>
        <charset val="134"/>
      </rPr>
      <t>SW</t>
    </r>
    <r>
      <rPr>
        <sz val="11"/>
        <rFont val="宋体"/>
        <charset val="134"/>
      </rPr>
      <t>中查询</t>
    </r>
  </si>
  <si>
    <r>
      <rPr>
        <sz val="11"/>
        <color theme="1"/>
        <rFont val="宋体"/>
        <charset val="134"/>
      </rPr>
      <t>负载</t>
    </r>
    <r>
      <rPr>
        <sz val="11"/>
        <color theme="1"/>
        <rFont val="Tahoma"/>
        <charset val="134"/>
      </rPr>
      <t>(</t>
    </r>
    <r>
      <rPr>
        <sz val="11"/>
        <color theme="1"/>
        <rFont val="宋体"/>
        <charset val="134"/>
      </rPr>
      <t>夹具</t>
    </r>
    <r>
      <rPr>
        <sz val="11"/>
        <color theme="1"/>
        <rFont val="Tahoma"/>
        <charset val="134"/>
      </rPr>
      <t>+</t>
    </r>
    <r>
      <rPr>
        <sz val="11"/>
        <color theme="1"/>
        <rFont val="宋体"/>
        <charset val="134"/>
      </rPr>
      <t>工件</t>
    </r>
    <r>
      <rPr>
        <sz val="11"/>
        <color theme="1"/>
        <rFont val="Tahoma"/>
        <charset val="134"/>
      </rPr>
      <t>)</t>
    </r>
    <r>
      <rPr>
        <sz val="11"/>
        <color theme="1"/>
        <rFont val="宋体"/>
        <charset val="134"/>
      </rPr>
      <t>惯量</t>
    </r>
    <r>
      <rPr>
        <sz val="11"/>
        <color theme="1"/>
        <rFont val="Tahoma"/>
        <charset val="134"/>
      </rPr>
      <t>J1(kg.m²)</t>
    </r>
  </si>
  <si>
    <r>
      <rPr>
        <sz val="11"/>
        <rFont val="Tahoma"/>
        <charset val="134"/>
      </rPr>
      <t>m*Rp</t>
    </r>
    <r>
      <rPr>
        <vertAlign val="subscript"/>
        <sz val="14"/>
        <rFont val="Tahoma"/>
        <charset val="134"/>
      </rPr>
      <t>2</t>
    </r>
  </si>
  <si>
    <t>(J1+J2)/η0</t>
  </si>
  <si>
    <r>
      <rPr>
        <sz val="11"/>
        <color theme="1"/>
        <rFont val="Tahoma"/>
        <charset val="134"/>
      </rPr>
      <t>72</t>
    </r>
    <r>
      <rPr>
        <sz val="11"/>
        <color theme="1"/>
        <rFont val="宋体"/>
        <charset val="134"/>
        <scheme val="minor"/>
      </rPr>
      <t>π</t>
    </r>
    <r>
      <rPr>
        <sz val="11"/>
        <color theme="1"/>
        <rFont val="Tahoma"/>
        <charset val="134"/>
      </rPr>
      <t>Am/Se*(n0/θ)</t>
    </r>
    <r>
      <rPr>
        <vertAlign val="superscript"/>
        <sz val="11"/>
        <color theme="1"/>
        <rFont val="宋体"/>
        <charset val="134"/>
      </rPr>
      <t>2</t>
    </r>
  </si>
  <si>
    <t>f=m*g*μ</t>
  </si>
  <si>
    <r>
      <rPr>
        <sz val="11"/>
        <color theme="1"/>
        <rFont val="宋体"/>
        <charset val="134"/>
      </rPr>
      <t>摩擦力转矩</t>
    </r>
    <r>
      <rPr>
        <sz val="11"/>
        <color theme="1"/>
        <rFont val="Tahoma"/>
        <charset val="134"/>
      </rPr>
      <t>T</t>
    </r>
    <r>
      <rPr>
        <vertAlign val="subscript"/>
        <sz val="14"/>
        <color theme="1"/>
        <rFont val="Tahoma"/>
        <charset val="134"/>
      </rPr>
      <t>f(N.m)</t>
    </r>
  </si>
  <si>
    <t>f*Rf</t>
  </si>
  <si>
    <r>
      <rPr>
        <sz val="11"/>
        <color theme="1"/>
        <rFont val="宋体"/>
        <charset val="134"/>
      </rPr>
      <t>外力转矩</t>
    </r>
    <r>
      <rPr>
        <sz val="11"/>
        <color theme="1"/>
        <rFont val="Tahoma"/>
        <charset val="134"/>
      </rPr>
      <t>T</t>
    </r>
    <r>
      <rPr>
        <vertAlign val="subscript"/>
        <sz val="14"/>
        <color theme="1"/>
        <rFont val="Tahoma"/>
        <charset val="134"/>
      </rPr>
      <t>w(N.m)</t>
    </r>
  </si>
  <si>
    <t>Tw=Fa*L</t>
  </si>
  <si>
    <t>T0=Tf+Tj+Tw</t>
  </si>
  <si>
    <t>Tc=Qm(360/Se/θ)Te</t>
  </si>
  <si>
    <r>
      <rPr>
        <sz val="11"/>
        <color theme="1"/>
        <rFont val="宋体"/>
        <charset val="134"/>
      </rPr>
      <t>附图</t>
    </r>
    <r>
      <rPr>
        <sz val="11"/>
        <color theme="1"/>
        <rFont val="Tahoma"/>
        <charset val="134"/>
      </rPr>
      <t>1</t>
    </r>
    <r>
      <rPr>
        <sz val="11"/>
        <color theme="1"/>
        <rFont val="宋体"/>
        <charset val="134"/>
      </rPr>
      <t>，凸轮分割器内部结构原理</t>
    </r>
  </si>
  <si>
    <r>
      <rPr>
        <sz val="11"/>
        <color theme="1"/>
        <rFont val="宋体"/>
        <charset val="134"/>
      </rPr>
      <t>说明：</t>
    </r>
    <r>
      <rPr>
        <sz val="11"/>
        <color theme="1"/>
        <rFont val="Tahoma"/>
        <charset val="134"/>
      </rPr>
      <t xml:space="preserve"> 
    1</t>
    </r>
    <r>
      <rPr>
        <sz val="11"/>
        <color theme="1"/>
        <rFont val="宋体"/>
        <charset val="134"/>
      </rPr>
      <t>，凸轮分割器内部结构原理如附图</t>
    </r>
    <r>
      <rPr>
        <sz val="11"/>
        <color theme="1"/>
        <rFont val="Tahoma"/>
        <charset val="134"/>
      </rPr>
      <t>1(</t>
    </r>
    <r>
      <rPr>
        <sz val="11"/>
        <color theme="1"/>
        <rFont val="宋体"/>
        <charset val="134"/>
      </rPr>
      <t>黑色为输入轴，绿色为输出轴</t>
    </r>
    <r>
      <rPr>
        <sz val="11"/>
        <color theme="1"/>
        <rFont val="Tahoma"/>
        <charset val="134"/>
      </rPr>
      <t>)</t>
    </r>
    <r>
      <rPr>
        <sz val="11"/>
        <color theme="1"/>
        <rFont val="宋体"/>
        <charset val="134"/>
      </rPr>
      <t xml:space="preserve">；
</t>
    </r>
    <r>
      <rPr>
        <sz val="11"/>
        <color theme="1"/>
        <rFont val="Tahoma"/>
        <charset val="134"/>
      </rPr>
      <t xml:space="preserve">    2</t>
    </r>
    <r>
      <rPr>
        <sz val="11"/>
        <color theme="1"/>
        <rFont val="宋体"/>
        <charset val="134"/>
      </rPr>
      <t>，前三种传动均使用分割型凸轮，最后一种使用摇摆型凸轮，运动方式和内部原理分别如附图</t>
    </r>
    <r>
      <rPr>
        <sz val="11"/>
        <color theme="1"/>
        <rFont val="Tahoma"/>
        <charset val="134"/>
      </rPr>
      <t>2</t>
    </r>
    <r>
      <rPr>
        <sz val="11"/>
        <color theme="1"/>
        <rFont val="宋体"/>
        <charset val="134"/>
      </rPr>
      <t xml:space="preserve">；
</t>
    </r>
    <r>
      <rPr>
        <sz val="11"/>
        <color theme="1"/>
        <rFont val="Tahoma"/>
        <charset val="134"/>
      </rPr>
      <t xml:space="preserve">    3</t>
    </r>
    <r>
      <rPr>
        <sz val="11"/>
        <color theme="1"/>
        <rFont val="宋体"/>
        <charset val="134"/>
      </rPr>
      <t>，分割型凸轮的旋向如附图</t>
    </r>
    <r>
      <rPr>
        <sz val="11"/>
        <color theme="1"/>
        <rFont val="Tahoma"/>
        <charset val="134"/>
      </rPr>
      <t>3</t>
    </r>
    <r>
      <rPr>
        <sz val="11"/>
        <color theme="1"/>
        <rFont val="宋体"/>
        <charset val="134"/>
      </rPr>
      <t>，一般用右旋。</t>
    </r>
  </si>
  <si>
    <r>
      <rPr>
        <sz val="11"/>
        <color theme="1"/>
        <rFont val="宋体"/>
        <charset val="134"/>
      </rPr>
      <t>附图</t>
    </r>
    <r>
      <rPr>
        <sz val="11"/>
        <color theme="1"/>
        <rFont val="Tahoma"/>
        <charset val="134"/>
      </rPr>
      <t>2</t>
    </r>
    <r>
      <rPr>
        <sz val="11"/>
        <color theme="1"/>
        <rFont val="宋体"/>
        <charset val="134"/>
      </rPr>
      <t>，分割型和摇摆型凸轮区别</t>
    </r>
  </si>
  <si>
    <t>附图3，分割型凸轮旋向</t>
  </si>
  <si>
    <r>
      <rPr>
        <sz val="12"/>
        <color theme="1"/>
        <rFont val="宋体"/>
        <charset val="134"/>
      </rPr>
      <t>文档信息
编写：煜宸
参考：《凸轮分割器》</t>
    </r>
    <r>
      <rPr>
        <sz val="12"/>
        <color theme="1"/>
        <rFont val="Tahoma"/>
        <charset val="134"/>
      </rPr>
      <t>——(</t>
    </r>
    <r>
      <rPr>
        <sz val="12"/>
        <color theme="1"/>
        <rFont val="宋体"/>
        <charset val="134"/>
      </rPr>
      <t>前桥教育</t>
    </r>
    <r>
      <rPr>
        <sz val="12"/>
        <color theme="1"/>
        <rFont val="Tahoma"/>
        <charset val="134"/>
      </rPr>
      <t xml:space="preserve">) </t>
    </r>
    <r>
      <rPr>
        <sz val="12"/>
        <color theme="1"/>
        <rFont val="宋体"/>
        <charset val="134"/>
      </rPr>
      <t xml:space="preserve">宣言
</t>
    </r>
    <r>
      <rPr>
        <sz val="12"/>
        <color theme="1"/>
        <rFont val="Tahoma"/>
        <charset val="134"/>
      </rPr>
      <t xml:space="preserve">         </t>
    </r>
    <r>
      <rPr>
        <sz val="12"/>
        <color theme="1"/>
        <rFont val="宋体"/>
        <charset val="134"/>
      </rPr>
      <t xml:space="preserve">《步凸轮分割器选型计算及应用实例》
</t>
    </r>
    <r>
      <rPr>
        <sz val="12"/>
        <color theme="1"/>
        <rFont val="Tahoma"/>
        <charset val="134"/>
      </rPr>
      <t xml:space="preserve">         </t>
    </r>
    <r>
      <rPr>
        <sz val="12"/>
        <color theme="1"/>
        <rFont val="宋体"/>
        <charset val="134"/>
      </rPr>
      <t xml:space="preserve">《正名分割器选型目录》
</t>
    </r>
    <r>
      <rPr>
        <sz val="12"/>
        <color theme="1"/>
        <rFont val="Tahoma"/>
        <charset val="134"/>
      </rPr>
      <t xml:space="preserve">                                                                                                   2019.9.12 </t>
    </r>
  </si>
  <si>
    <t xml:space="preserve">    硬度与强度换算</t>
  </si>
  <si>
    <t>自动
计算</t>
  </si>
  <si>
    <t>HRC</t>
  </si>
  <si>
    <t>HB</t>
  </si>
  <si>
    <t>HV</t>
  </si>
  <si>
    <r>
      <rPr>
        <sz val="11"/>
        <color theme="1"/>
        <rFont val="宋体"/>
        <charset val="134"/>
      </rPr>
      <t>碳钢</t>
    </r>
    <r>
      <rPr>
        <sz val="11"/>
        <color theme="1"/>
        <rFont val="Tahoma"/>
        <charset val="134"/>
      </rPr>
      <t>σb</t>
    </r>
  </si>
  <si>
    <t>不锈钢σb</t>
  </si>
  <si>
    <t>换算参考表</t>
  </si>
  <si>
    <t>碳钢σb</t>
  </si>
  <si>
    <r>
      <rPr>
        <sz val="11"/>
        <color rgb="FFFF0000"/>
        <rFont val="Tahoma"/>
        <charset val="134"/>
      </rPr>
      <t>55°</t>
    </r>
    <r>
      <rPr>
        <sz val="11"/>
        <color rgb="FFFF0000"/>
        <rFont val="宋体"/>
        <charset val="134"/>
      </rPr>
      <t>密封螺纹</t>
    </r>
  </si>
  <si>
    <r>
      <rPr>
        <sz val="11"/>
        <color rgb="FFFF0000"/>
        <rFont val="Tahoma"/>
        <charset val="134"/>
      </rPr>
      <t>55°</t>
    </r>
    <r>
      <rPr>
        <sz val="11"/>
        <color rgb="FFFF0000"/>
        <rFont val="宋体"/>
        <charset val="134"/>
      </rPr>
      <t>非密封螺纹</t>
    </r>
  </si>
  <si>
    <r>
      <rPr>
        <sz val="11"/>
        <color theme="1"/>
        <rFont val="Tahoma"/>
        <charset val="134"/>
      </rPr>
      <t>DN(</t>
    </r>
    <r>
      <rPr>
        <sz val="11"/>
        <color theme="1"/>
        <rFont val="宋体"/>
        <charset val="134"/>
      </rPr>
      <t>公制</t>
    </r>
    <r>
      <rPr>
        <sz val="11"/>
        <color theme="1"/>
        <rFont val="Tahoma"/>
        <charset val="134"/>
      </rPr>
      <t>)</t>
    </r>
    <r>
      <rPr>
        <sz val="11"/>
        <color theme="1"/>
        <rFont val="宋体"/>
        <charset val="134"/>
      </rPr>
      <t>既不是内径更不是外径，接近于内径</t>
    </r>
  </si>
  <si>
    <r>
      <rPr>
        <sz val="11"/>
        <color rgb="FFFF0000"/>
        <rFont val="Tahoma"/>
        <charset val="134"/>
      </rPr>
      <t>60°</t>
    </r>
    <r>
      <rPr>
        <sz val="11"/>
        <color rgb="FFFF0000"/>
        <rFont val="宋体"/>
        <charset val="134"/>
      </rPr>
      <t>螺纹</t>
    </r>
  </si>
  <si>
    <r>
      <rPr>
        <sz val="11"/>
        <color theme="1"/>
        <rFont val="宋体"/>
        <charset val="134"/>
      </rPr>
      <t>附表</t>
    </r>
    <r>
      <rPr>
        <sz val="11"/>
        <color theme="1"/>
        <rFont val="Tahoma"/>
        <charset val="134"/>
      </rPr>
      <t xml:space="preserve"> </t>
    </r>
    <r>
      <rPr>
        <sz val="11"/>
        <color theme="1"/>
        <rFont val="宋体"/>
        <charset val="134"/>
      </rPr>
      <t>钻底孔直径</t>
    </r>
  </si>
  <si>
    <t xml:space="preserve">    反解渐开线函数inv</t>
  </si>
  <si>
    <t>条件</t>
  </si>
  <si>
    <t>符号</t>
  </si>
  <si>
    <t>已知invθ的值</t>
  </si>
  <si>
    <t>invθ=</t>
  </si>
  <si>
    <t>请尽量精确</t>
  </si>
  <si>
    <t>反解θ角度值(°)</t>
  </si>
  <si>
    <t>θ=</t>
  </si>
  <si>
    <t>验证(可不做)</t>
  </si>
  <si>
    <t>令α=</t>
  </si>
  <si>
    <r>
      <rPr>
        <sz val="12"/>
        <color theme="1"/>
        <rFont val="微软雅黑"/>
        <charset val="134"/>
      </rPr>
      <t>0~90°全域已经过验证，误差＜10</t>
    </r>
    <r>
      <rPr>
        <vertAlign val="superscript"/>
        <sz val="12"/>
        <color theme="1"/>
        <rFont val="微软雅黑"/>
        <charset val="134"/>
      </rPr>
      <t>-6</t>
    </r>
    <r>
      <rPr>
        <sz val="12"/>
        <color theme="1"/>
        <rFont val="微软雅黑"/>
        <charset val="134"/>
      </rPr>
      <t>°</t>
    </r>
  </si>
  <si>
    <t>求得invα=</t>
  </si>
  <si>
    <t>误差值=</t>
  </si>
  <si>
    <r>
      <rPr>
        <sz val="11"/>
        <color theme="1"/>
        <rFont val="微软雅黑"/>
        <charset val="134"/>
      </rPr>
      <t>说明：
    渐开线函数</t>
    </r>
    <r>
      <rPr>
        <sz val="11"/>
        <color rgb="FFFF0000"/>
        <rFont val="微软雅黑"/>
        <charset val="134"/>
      </rPr>
      <t>invθ=tanθ-θ</t>
    </r>
    <r>
      <rPr>
        <sz val="11"/>
        <color theme="1"/>
        <rFont val="微软雅黑"/>
        <charset val="134"/>
      </rPr>
      <t>（此处为弧度值），反求INV是没有理论公式的，一般是依靠查表，但是由于计算机的计算速度快，因此有两种方法可以求解
    1，一般黄金分割法或者牛顿迭代法来优化求解，需要在excel中编写宏函数，采用有限次迭代计算让结果趋近真值。
    2，利用专家(比如沈守范)研究的公式计算，全域精度可达到1E-6以上，也正是</t>
    </r>
    <r>
      <rPr>
        <sz val="11"/>
        <color rgb="FFFF0000"/>
        <rFont val="微软雅黑"/>
        <charset val="134"/>
      </rPr>
      <t>本软件使用的方法,</t>
    </r>
    <r>
      <rPr>
        <sz val="11"/>
        <color theme="1"/>
        <rFont val="微软雅黑"/>
        <charset val="134"/>
      </rPr>
      <t xml:space="preserve">。
</t>
    </r>
  </si>
  <si>
    <t xml:space="preserve">文档信息
编写：煜宸
参考：《反渐开线函数的综合解算方法》——沈守范
                                                                                                2018.8.8  
</t>
  </si>
  <si>
    <t xml:space="preserve">                                               </t>
  </si>
  <si>
    <r>
      <rPr>
        <b/>
        <sz val="16"/>
        <color rgb="FFFF0000"/>
        <rFont val="宋体"/>
        <charset val="134"/>
      </rPr>
      <t xml:space="preserve">    常见刚体转动惯量</t>
    </r>
    <r>
      <rPr>
        <sz val="16"/>
        <color theme="1"/>
        <rFont val="宋体"/>
        <charset val="134"/>
      </rPr>
      <t xml:space="preserve">  </t>
    </r>
  </si>
  <si>
    <r>
      <rPr>
        <sz val="11"/>
        <color theme="1"/>
        <rFont val="宋体"/>
        <charset val="134"/>
      </rPr>
      <t>图中尺寸</t>
    </r>
    <r>
      <rPr>
        <sz val="11"/>
        <color theme="1"/>
        <rFont val="Tahoma"/>
        <charset val="134"/>
      </rPr>
      <t>(kg,mm)</t>
    </r>
  </si>
  <si>
    <r>
      <rPr>
        <sz val="11"/>
        <color theme="1"/>
        <rFont val="宋体"/>
        <charset val="134"/>
      </rPr>
      <t>转轴偏心距</t>
    </r>
    <r>
      <rPr>
        <sz val="11"/>
        <color theme="1"/>
        <rFont val="Tahoma"/>
        <charset val="134"/>
      </rPr>
      <t>e</t>
    </r>
  </si>
  <si>
    <r>
      <rPr>
        <sz val="11"/>
        <color theme="1"/>
        <rFont val="宋体"/>
        <charset val="134"/>
      </rPr>
      <t>转动惯量</t>
    </r>
    <r>
      <rPr>
        <sz val="11"/>
        <color theme="1"/>
        <rFont val="Tahoma"/>
        <charset val="134"/>
      </rPr>
      <t>J</t>
    </r>
    <r>
      <rPr>
        <sz val="11"/>
        <color theme="1"/>
        <rFont val="宋体"/>
        <charset val="134"/>
      </rPr>
      <t xml:space="preserve">
</t>
    </r>
    <r>
      <rPr>
        <sz val="11"/>
        <color theme="1"/>
        <rFont val="Tahoma"/>
        <charset val="134"/>
      </rPr>
      <t>(kg.cm²)</t>
    </r>
  </si>
  <si>
    <t xml:space="preserve">  图示</t>
  </si>
  <si>
    <t>形状与转轴</t>
  </si>
  <si>
    <r>
      <rPr>
        <sz val="11"/>
        <color theme="1"/>
        <rFont val="宋体"/>
        <charset val="134"/>
      </rPr>
      <t>惯量</t>
    </r>
    <r>
      <rPr>
        <sz val="11"/>
        <color theme="1"/>
        <rFont val="Tahoma"/>
        <charset val="134"/>
      </rPr>
      <t>J0</t>
    </r>
    <r>
      <rPr>
        <sz val="11"/>
        <color theme="1"/>
        <rFont val="宋体"/>
        <charset val="134"/>
      </rPr>
      <t>公式</t>
    </r>
  </si>
  <si>
    <r>
      <rPr>
        <sz val="11"/>
        <color theme="1"/>
        <rFont val="宋体"/>
        <charset val="134"/>
      </rPr>
      <t>质量</t>
    </r>
    <r>
      <rPr>
        <sz val="11"/>
        <color theme="1"/>
        <rFont val="Tahoma"/>
        <charset val="134"/>
      </rPr>
      <t>m</t>
    </r>
  </si>
  <si>
    <r>
      <rPr>
        <sz val="11"/>
        <color theme="1"/>
        <rFont val="Tahoma"/>
        <charset val="134"/>
      </rPr>
      <t>R(</t>
    </r>
    <r>
      <rPr>
        <sz val="11"/>
        <color theme="1"/>
        <rFont val="宋体"/>
        <charset val="134"/>
      </rPr>
      <t>或</t>
    </r>
    <r>
      <rPr>
        <sz val="11"/>
        <color theme="1"/>
        <rFont val="Tahoma"/>
        <charset val="134"/>
      </rPr>
      <t>a)</t>
    </r>
  </si>
  <si>
    <r>
      <rPr>
        <sz val="11"/>
        <color theme="1"/>
        <rFont val="Tahoma"/>
        <charset val="134"/>
      </rPr>
      <t>r(</t>
    </r>
    <r>
      <rPr>
        <sz val="11"/>
        <color theme="1"/>
        <rFont val="宋体"/>
        <charset val="134"/>
      </rPr>
      <t>或</t>
    </r>
    <r>
      <rPr>
        <sz val="11"/>
        <color theme="1"/>
        <rFont val="Tahoma"/>
        <charset val="134"/>
      </rPr>
      <t>b)</t>
    </r>
  </si>
  <si>
    <r>
      <rPr>
        <sz val="11"/>
        <color theme="1"/>
        <rFont val="宋体"/>
        <charset val="134"/>
      </rPr>
      <t>绕轴旋转的质点</t>
    </r>
  </si>
  <si>
    <r>
      <rPr>
        <sz val="11"/>
        <color theme="1"/>
        <rFont val="宋体"/>
        <charset val="134"/>
      </rPr>
      <t>用于物体尺寸相对于旋转中心很小的情况</t>
    </r>
  </si>
  <si>
    <r>
      <rPr>
        <sz val="11"/>
        <color theme="1"/>
        <rFont val="宋体"/>
        <charset val="134"/>
      </rPr>
      <t>圆柱</t>
    </r>
    <r>
      <rPr>
        <sz val="11"/>
        <color theme="1"/>
        <rFont val="Tahoma"/>
        <charset val="134"/>
      </rPr>
      <t>/</t>
    </r>
    <r>
      <rPr>
        <sz val="11"/>
        <color theme="1"/>
        <rFont val="宋体"/>
        <charset val="134"/>
      </rPr>
      <t>薄圆盘
转轴为圆柱</t>
    </r>
    <r>
      <rPr>
        <sz val="11"/>
        <color theme="1"/>
        <rFont val="Tahoma"/>
        <charset val="134"/>
      </rPr>
      <t>/</t>
    </r>
    <r>
      <rPr>
        <sz val="11"/>
        <color theme="1"/>
        <rFont val="宋体"/>
        <charset val="134"/>
      </rPr>
      <t>圆盘轴线</t>
    </r>
  </si>
  <si>
    <r>
      <rPr>
        <sz val="11"/>
        <color theme="1"/>
        <rFont val="宋体"/>
        <charset val="134"/>
      </rPr>
      <t>与长度无关</t>
    </r>
  </si>
  <si>
    <r>
      <rPr>
        <sz val="11"/>
        <color theme="1"/>
        <rFont val="宋体"/>
        <charset val="134"/>
      </rPr>
      <t>空心圆柱
转轴为圆柱轴线</t>
    </r>
  </si>
  <si>
    <r>
      <rPr>
        <sz val="11"/>
        <color theme="1"/>
        <rFont val="宋体"/>
        <charset val="134"/>
      </rPr>
      <t>薄皮圆柱
转轴为圆柱轴线</t>
    </r>
  </si>
  <si>
    <r>
      <rPr>
        <sz val="11"/>
        <color theme="1"/>
        <rFont val="宋体"/>
        <charset val="134"/>
      </rPr>
      <t>薄皮圆柱
转轴通过圆柱中心与其垂直</t>
    </r>
  </si>
  <si>
    <t>球体
转轴通过球心</t>
  </si>
  <si>
    <r>
      <rPr>
        <sz val="11"/>
        <color theme="1"/>
        <rFont val="宋体"/>
        <charset val="134"/>
      </rPr>
      <t>薄皮球体
转轴通过球心</t>
    </r>
  </si>
  <si>
    <r>
      <rPr>
        <sz val="11"/>
        <color theme="1"/>
        <rFont val="宋体"/>
        <charset val="134"/>
      </rPr>
      <t>细长杆
转轴通过杆中心与杆垂直</t>
    </r>
  </si>
  <si>
    <t>端面可以使任意形状，尺寸可忽略</t>
  </si>
  <si>
    <r>
      <rPr>
        <sz val="11"/>
        <color theme="1"/>
        <rFont val="宋体"/>
        <charset val="134"/>
      </rPr>
      <t>细长杆
转轴通过杆端中心与杆垂直</t>
    </r>
  </si>
  <si>
    <t>圆柱体
转轴通过圆柱中心与其垂直</t>
  </si>
  <si>
    <r>
      <rPr>
        <sz val="11"/>
        <color theme="1"/>
        <rFont val="宋体"/>
        <charset val="134"/>
      </rPr>
      <t>端面尺寸不可忽略</t>
    </r>
  </si>
  <si>
    <r>
      <rPr>
        <sz val="11"/>
        <color theme="1"/>
        <rFont val="宋体"/>
        <charset val="134"/>
      </rPr>
      <t>长方体</t>
    </r>
    <r>
      <rPr>
        <sz val="11"/>
        <color theme="1"/>
        <rFont val="Tahoma"/>
        <charset val="134"/>
      </rPr>
      <t xml:space="preserve"> 
</t>
    </r>
    <r>
      <rPr>
        <sz val="11"/>
        <color theme="1"/>
        <rFont val="宋体"/>
        <charset val="134"/>
      </rPr>
      <t>转轴在通过体中心</t>
    </r>
  </si>
  <si>
    <r>
      <rPr>
        <b/>
        <sz val="16"/>
        <color rgb="FFFF0000"/>
        <rFont val="宋体"/>
        <charset val="134"/>
      </rPr>
      <t>以上刚体转轴
偏移距离</t>
    </r>
    <r>
      <rPr>
        <b/>
        <sz val="16"/>
        <color rgb="FFFF0000"/>
        <rFont val="Tahoma"/>
        <charset val="134"/>
      </rPr>
      <t>e</t>
    </r>
    <r>
      <rPr>
        <b/>
        <sz val="16"/>
        <color rgb="FFFF0000"/>
        <rFont val="宋体"/>
        <charset val="134"/>
      </rPr>
      <t>后</t>
    </r>
  </si>
  <si>
    <t>常见运动机构转动惯量</t>
  </si>
  <si>
    <t>质量</t>
  </si>
  <si>
    <t>主动轮</t>
  </si>
  <si>
    <r>
      <rPr>
        <sz val="10"/>
        <color theme="1"/>
        <rFont val="宋体"/>
        <charset val="134"/>
      </rPr>
      <t>丝杆导程</t>
    </r>
    <r>
      <rPr>
        <sz val="11"/>
        <color theme="1"/>
        <rFont val="Tahoma"/>
        <charset val="134"/>
      </rPr>
      <t>Bp</t>
    </r>
  </si>
  <si>
    <t>负载或从动轮</t>
  </si>
  <si>
    <t>减速比</t>
  </si>
  <si>
    <t>传动效率</t>
  </si>
  <si>
    <r>
      <rPr>
        <sz val="11"/>
        <color theme="1"/>
        <rFont val="宋体"/>
        <charset val="134"/>
      </rPr>
      <t>转换惯量</t>
    </r>
    <r>
      <rPr>
        <sz val="11"/>
        <color theme="1"/>
        <rFont val="Tahoma"/>
        <charset val="134"/>
      </rPr>
      <t>J</t>
    </r>
  </si>
  <si>
    <t xml:space="preserve">  图示  </t>
  </si>
  <si>
    <t>传动类型</t>
  </si>
  <si>
    <t>惯量转换公式</t>
  </si>
  <si>
    <t>m(kg)</t>
  </si>
  <si>
    <t>r(mm)</t>
  </si>
  <si>
    <r>
      <rPr>
        <sz val="11"/>
        <color theme="1"/>
        <rFont val="宋体"/>
        <charset val="134"/>
      </rPr>
      <t>或</t>
    </r>
    <r>
      <rPr>
        <sz val="11"/>
        <color theme="1"/>
        <rFont val="Tahoma"/>
        <charset val="134"/>
      </rPr>
      <t>P(mm)</t>
    </r>
  </si>
  <si>
    <r>
      <rPr>
        <sz val="11"/>
        <color theme="1"/>
        <rFont val="Tahoma"/>
        <charset val="134"/>
      </rPr>
      <t>J</t>
    </r>
    <r>
      <rPr>
        <vertAlign val="subscript"/>
        <sz val="14"/>
        <color theme="1"/>
        <rFont val="Tahoma"/>
        <charset val="134"/>
      </rPr>
      <t>L</t>
    </r>
    <r>
      <rPr>
        <sz val="11"/>
        <color theme="1"/>
        <rFont val="Tahoma"/>
        <charset val="134"/>
      </rPr>
      <t>(J</t>
    </r>
    <r>
      <rPr>
        <vertAlign val="subscript"/>
        <sz val="14"/>
        <color theme="1"/>
        <rFont val="Tahoma"/>
        <charset val="134"/>
      </rPr>
      <t>2</t>
    </r>
    <r>
      <rPr>
        <sz val="11"/>
        <color theme="1"/>
        <rFont val="Tahoma"/>
        <charset val="134"/>
      </rPr>
      <t>)(kg.cm²)</t>
    </r>
  </si>
  <si>
    <t>i</t>
  </si>
  <si>
    <t>(kg.cm²)</t>
  </si>
  <si>
    <t>任何形式的减速机</t>
  </si>
  <si>
    <r>
      <rPr>
        <sz val="11"/>
        <color theme="1"/>
        <rFont val="Tahoma"/>
        <charset val="134"/>
      </rPr>
      <t xml:space="preserve">          </t>
    </r>
    <r>
      <rPr>
        <sz val="11"/>
        <color theme="1"/>
        <rFont val="宋体"/>
        <charset val="134"/>
      </rPr>
      <t>表示负载端惯量</t>
    </r>
    <r>
      <rPr>
        <sz val="11"/>
        <color theme="1"/>
        <rFont val="Tahoma"/>
        <charset val="134"/>
      </rPr>
      <t>J</t>
    </r>
    <r>
      <rPr>
        <vertAlign val="subscript"/>
        <sz val="14"/>
        <color theme="1"/>
        <rFont val="Tahoma"/>
        <charset val="134"/>
      </rPr>
      <t>L</t>
    </r>
    <r>
      <rPr>
        <sz val="11"/>
        <color theme="1"/>
        <rFont val="宋体"/>
        <charset val="134"/>
      </rPr>
      <t>转换到</t>
    </r>
    <r>
      <rPr>
        <sz val="11"/>
        <color theme="1"/>
        <rFont val="宋体"/>
        <charset val="134"/>
      </rPr>
      <t>减速机输入端</t>
    </r>
  </si>
  <si>
    <r>
      <rPr>
        <sz val="11"/>
        <color theme="1"/>
        <rFont val="宋体"/>
        <charset val="134"/>
      </rPr>
      <t>皮带输送机，
直线平台往复运动(</t>
    </r>
    <r>
      <rPr>
        <sz val="10.5"/>
        <color theme="9" tint="-0.249977111117893"/>
        <rFont val="宋体"/>
        <charset val="134"/>
      </rPr>
      <t>链传动，带传动，齿轮齿条传动</t>
    </r>
    <r>
      <rPr>
        <sz val="11"/>
        <color theme="1"/>
        <rFont val="宋体"/>
        <charset val="134"/>
      </rPr>
      <t>),
卷扬机构</t>
    </r>
  </si>
  <si>
    <r>
      <rPr>
        <sz val="11"/>
        <color theme="1"/>
        <rFont val="Tahoma"/>
        <charset val="134"/>
      </rPr>
      <t xml:space="preserve">          </t>
    </r>
    <r>
      <rPr>
        <sz val="11"/>
        <color theme="1"/>
        <rFont val="宋体"/>
        <charset val="134"/>
      </rPr>
      <t>表示负载端惯量转换到主动轮端</t>
    </r>
    <r>
      <rPr>
        <sz val="11"/>
        <color theme="1"/>
        <rFont val="Tahoma"/>
        <charset val="134"/>
      </rPr>
      <t xml:space="preserve">     </t>
    </r>
  </si>
  <si>
    <t xml:space="preserve">不考虑传动效率时可省略η
</t>
  </si>
  <si>
    <t xml:space="preserve">         </t>
  </si>
  <si>
    <t>滚珠丝杆传动</t>
  </si>
  <si>
    <r>
      <rPr>
        <sz val="11"/>
        <color theme="1"/>
        <rFont val="Tahoma"/>
        <charset val="134"/>
      </rPr>
      <t xml:space="preserve">          </t>
    </r>
    <r>
      <rPr>
        <sz val="11"/>
        <color theme="1"/>
        <rFont val="宋体"/>
        <charset val="134"/>
      </rPr>
      <t>表示负载端惯量转换到丝杆上</t>
    </r>
  </si>
  <si>
    <r>
      <rPr>
        <sz val="11"/>
        <color theme="1"/>
        <rFont val="宋体"/>
        <charset val="134"/>
      </rPr>
      <t>从动轮惯量折算到主动轮(</t>
    </r>
    <r>
      <rPr>
        <sz val="11"/>
        <color theme="9" tint="-0.249977111117893"/>
        <rFont val="宋体"/>
        <charset val="134"/>
      </rPr>
      <t>链传动,带传动,齿轮传动,蜗轮蜗杆传动</t>
    </r>
  </si>
  <si>
    <r>
      <rPr>
        <sz val="11"/>
        <color theme="1"/>
        <rFont val="Tahoma"/>
        <charset val="134"/>
      </rPr>
      <t xml:space="preserve">          </t>
    </r>
    <r>
      <rPr>
        <sz val="11"/>
        <color theme="1"/>
        <rFont val="宋体"/>
        <charset val="134"/>
      </rPr>
      <t>表示从动轮</t>
    </r>
    <r>
      <rPr>
        <sz val="11"/>
        <color theme="1"/>
        <rFont val="宋体"/>
        <charset val="134"/>
      </rPr>
      <t>惯量</t>
    </r>
    <r>
      <rPr>
        <sz val="11"/>
        <color theme="1"/>
        <rFont val="Tahoma"/>
        <charset val="134"/>
      </rPr>
      <t>J</t>
    </r>
    <r>
      <rPr>
        <vertAlign val="subscript"/>
        <sz val="14"/>
        <color theme="1"/>
        <rFont val="Tahoma"/>
        <charset val="134"/>
      </rPr>
      <t>2</t>
    </r>
    <r>
      <rPr>
        <sz val="11"/>
        <color theme="1"/>
        <rFont val="宋体"/>
        <charset val="134"/>
      </rPr>
      <t>转换到主动轮</t>
    </r>
    <r>
      <rPr>
        <sz val="11"/>
        <color theme="1"/>
        <rFont val="宋体"/>
        <charset val="134"/>
      </rPr>
      <t>上</t>
    </r>
  </si>
  <si>
    <r>
      <rPr>
        <sz val="11"/>
        <color theme="1"/>
        <rFont val="微软雅黑"/>
        <charset val="134"/>
      </rPr>
      <t>说明：
       1，传动机构的惯量转换遵循</t>
    </r>
    <r>
      <rPr>
        <sz val="11"/>
        <color rgb="FFFF0000"/>
        <rFont val="微软雅黑"/>
        <charset val="134"/>
      </rPr>
      <t>动能守恒</t>
    </r>
    <r>
      <rPr>
        <sz val="11"/>
        <color theme="1"/>
        <rFont val="微软雅黑"/>
        <charset val="134"/>
      </rPr>
      <t>定律，比如直线运动负载的惯量转换到主动轮上：                                          又由于                      所以得到 
又如丝杆负载直线速度与丝杆角速度关系：                    所以得到
（其中w为角速度，Bp是导程）。然后转换时考虑效率η便得到以上表中公式。
        2，注意惯量</t>
    </r>
    <r>
      <rPr>
        <sz val="11"/>
        <color rgb="FFFF0000"/>
        <rFont val="微软雅黑"/>
        <charset val="134"/>
      </rPr>
      <t>单位</t>
    </r>
    <r>
      <rPr>
        <sz val="11"/>
        <color theme="1"/>
        <rFont val="微软雅黑"/>
        <charset val="134"/>
      </rPr>
      <t>换算：1kg.m</t>
    </r>
    <r>
      <rPr>
        <vertAlign val="superscript"/>
        <sz val="14"/>
        <color theme="1"/>
        <rFont val="微软雅黑"/>
        <charset val="134"/>
      </rPr>
      <t>2</t>
    </r>
    <r>
      <rPr>
        <sz val="11"/>
        <color theme="1"/>
        <rFont val="微软雅黑"/>
        <charset val="134"/>
      </rPr>
      <t>=1x10</t>
    </r>
    <r>
      <rPr>
        <vertAlign val="superscript"/>
        <sz val="14"/>
        <color theme="1"/>
        <rFont val="微软雅黑"/>
        <charset val="134"/>
      </rPr>
      <t>4</t>
    </r>
    <r>
      <rPr>
        <sz val="11"/>
        <color theme="1"/>
        <rFont val="微软雅黑"/>
        <charset val="134"/>
      </rPr>
      <t>kg.cm</t>
    </r>
    <r>
      <rPr>
        <vertAlign val="superscript"/>
        <sz val="14"/>
        <color theme="1"/>
        <rFont val="微软雅黑"/>
        <charset val="134"/>
      </rPr>
      <t>2</t>
    </r>
    <r>
      <rPr>
        <sz val="11"/>
        <color theme="1"/>
        <rFont val="微软雅黑"/>
        <charset val="134"/>
      </rPr>
      <t>，1kg.cm</t>
    </r>
    <r>
      <rPr>
        <vertAlign val="superscript"/>
        <sz val="14"/>
        <color theme="1"/>
        <rFont val="微软雅黑"/>
        <charset val="134"/>
      </rPr>
      <t>2</t>
    </r>
    <r>
      <rPr>
        <sz val="11"/>
        <color theme="1"/>
        <rFont val="微软雅黑"/>
        <charset val="134"/>
      </rPr>
      <t>=100kg.mm</t>
    </r>
    <r>
      <rPr>
        <vertAlign val="superscript"/>
        <sz val="14"/>
        <color theme="1"/>
        <rFont val="微软雅黑"/>
        <charset val="134"/>
      </rPr>
      <t>2</t>
    </r>
  </si>
  <si>
    <t xml:space="preserve">文档信息
编写：煜宸
                                                                                                2018.9.7  
</t>
  </si>
</sst>
</file>

<file path=xl/styles.xml><?xml version="1.0" encoding="utf-8"?>
<styleSheet xmlns="http://schemas.openxmlformats.org/spreadsheetml/2006/main">
  <numFmts count="19">
    <numFmt numFmtId="176" formatCode="0_);\(0\)"/>
    <numFmt numFmtId="41" formatCode="_ * #,##0_ ;_ * \-#,##0_ ;_ * &quot;-&quot;_ ;_ @_ "/>
    <numFmt numFmtId="177" formatCode="0.00;[Red]0.00"/>
    <numFmt numFmtId="178" formatCode="0_ "/>
    <numFmt numFmtId="42" formatCode="_ &quot;￥&quot;* #,##0_ ;_ &quot;￥&quot;* \-#,##0_ ;_ &quot;￥&quot;* &quot;-&quot;_ ;_ @_ "/>
    <numFmt numFmtId="44" formatCode="_ &quot;￥&quot;* #,##0.00_ ;_ &quot;￥&quot;* \-#,##0.00_ ;_ &quot;￥&quot;* &quot;-&quot;??_ ;_ @_ "/>
    <numFmt numFmtId="179" formatCode="0.0000_ "/>
    <numFmt numFmtId="180" formatCode="0.0000000_ "/>
    <numFmt numFmtId="43" formatCode="_ * #,##0.00_ ;_ * \-#,##0.00_ ;_ * &quot;-&quot;??_ ;_ @_ "/>
    <numFmt numFmtId="181" formatCode="0.00000_ "/>
    <numFmt numFmtId="182" formatCode="0.0000000000_ "/>
    <numFmt numFmtId="183" formatCode="0.00_ "/>
    <numFmt numFmtId="184" formatCode="0.0_ "/>
    <numFmt numFmtId="185" formatCode="0.000_ "/>
    <numFmt numFmtId="186" formatCode="0.0_);[Red]\(0.0\)"/>
    <numFmt numFmtId="187" formatCode="#,##0.00_ "/>
    <numFmt numFmtId="188" formatCode="#,##0.00;[Red]#,##0.00"/>
    <numFmt numFmtId="189" formatCode="0.0000;[Red]0.0000"/>
    <numFmt numFmtId="190" formatCode="0.00_);\(0.00\)"/>
  </numFmts>
  <fonts count="191">
    <font>
      <sz val="11"/>
      <color theme="1"/>
      <name val="Tahoma"/>
      <charset val="134"/>
    </font>
    <font>
      <sz val="16"/>
      <color theme="1"/>
      <name val="宋体"/>
      <charset val="134"/>
    </font>
    <font>
      <sz val="11"/>
      <color theme="1"/>
      <name val="宋体"/>
      <charset val="134"/>
    </font>
    <font>
      <b/>
      <sz val="16"/>
      <color rgb="FFFF0000"/>
      <name val="Tahoma"/>
      <charset val="134"/>
    </font>
    <font>
      <b/>
      <sz val="11"/>
      <color rgb="FFFF0000"/>
      <name val="Tahoma"/>
      <charset val="134"/>
    </font>
    <font>
      <b/>
      <sz val="16"/>
      <color rgb="FFFF0000"/>
      <name val="宋体"/>
      <charset val="134"/>
    </font>
    <font>
      <b/>
      <sz val="11"/>
      <color theme="1"/>
      <name val="Tahoma"/>
      <charset val="134"/>
    </font>
    <font>
      <sz val="11"/>
      <color theme="1"/>
      <name val="微软雅黑"/>
      <charset val="134"/>
    </font>
    <font>
      <sz val="20"/>
      <color theme="1"/>
      <name val="微软雅黑"/>
      <charset val="134"/>
    </font>
    <font>
      <b/>
      <sz val="20"/>
      <color theme="1"/>
      <name val="微软雅黑"/>
      <charset val="134"/>
    </font>
    <font>
      <sz val="11"/>
      <color theme="1"/>
      <name val="宋体"/>
      <charset val="134"/>
      <scheme val="minor"/>
    </font>
    <font>
      <sz val="12"/>
      <color theme="1"/>
      <name val="微软雅黑"/>
      <charset val="134"/>
    </font>
    <font>
      <b/>
      <sz val="12"/>
      <color theme="1"/>
      <name val="微软雅黑"/>
      <charset val="134"/>
    </font>
    <font>
      <b/>
      <sz val="12"/>
      <color rgb="FFFF0000"/>
      <name val="微软雅黑"/>
      <charset val="134"/>
    </font>
    <font>
      <b/>
      <sz val="16"/>
      <color theme="1"/>
      <name val="宋体"/>
      <charset val="134"/>
    </font>
    <font>
      <b/>
      <sz val="16"/>
      <color theme="1"/>
      <name val="Tahoma"/>
      <charset val="134"/>
    </font>
    <font>
      <sz val="11"/>
      <color rgb="FFFF0000"/>
      <name val="Tahoma"/>
      <charset val="134"/>
    </font>
    <font>
      <sz val="11"/>
      <color rgb="FFFF0000"/>
      <name val="宋体"/>
      <charset val="134"/>
    </font>
    <font>
      <b/>
      <sz val="11"/>
      <name val="Tahoma"/>
      <charset val="134"/>
    </font>
    <font>
      <sz val="16"/>
      <color theme="1"/>
      <name val="Tahoma"/>
      <charset val="134"/>
    </font>
    <font>
      <b/>
      <sz val="11"/>
      <color rgb="FFFF0000"/>
      <name val="宋体"/>
      <charset val="134"/>
    </font>
    <font>
      <sz val="11"/>
      <name val="宋体"/>
      <charset val="134"/>
    </font>
    <font>
      <sz val="11"/>
      <name val="Tahoma"/>
      <charset val="134"/>
    </font>
    <font>
      <sz val="10.5"/>
      <color theme="1"/>
      <name val="宋体"/>
      <charset val="134"/>
    </font>
    <font>
      <sz val="18"/>
      <color theme="1"/>
      <name val="Tahoma"/>
      <charset val="134"/>
    </font>
    <font>
      <sz val="10"/>
      <color theme="1"/>
      <name val="Tahoma"/>
      <charset val="134"/>
    </font>
    <font>
      <sz val="12"/>
      <color theme="1"/>
      <name val="Tahoma"/>
      <charset val="134"/>
    </font>
    <font>
      <b/>
      <sz val="10.5"/>
      <color rgb="FFFF0000"/>
      <name val="Tahoma"/>
      <charset val="134"/>
    </font>
    <font>
      <sz val="8"/>
      <color theme="1"/>
      <name val="宋体"/>
      <charset val="134"/>
    </font>
    <font>
      <b/>
      <sz val="11"/>
      <color rgb="FF0070C0"/>
      <name val="Tahoma"/>
      <charset val="134"/>
    </font>
    <font>
      <sz val="10.5"/>
      <name val="Tahoma"/>
      <charset val="134"/>
    </font>
    <font>
      <sz val="11"/>
      <color theme="0" tint="-0.499984740745262"/>
      <name val="Tahoma"/>
      <charset val="134"/>
    </font>
    <font>
      <sz val="11"/>
      <color theme="0" tint="-0.499984740745262"/>
      <name val="宋体"/>
      <charset val="134"/>
    </font>
    <font>
      <b/>
      <sz val="11"/>
      <color theme="0" tint="-0.499984740745262"/>
      <name val="Tahoma"/>
      <charset val="134"/>
    </font>
    <font>
      <sz val="9"/>
      <color theme="1"/>
      <name val="宋体"/>
      <charset val="134"/>
    </font>
    <font>
      <sz val="9"/>
      <name val="宋体"/>
      <charset val="134"/>
    </font>
    <font>
      <sz val="12"/>
      <name val="宋体"/>
      <charset val="134"/>
    </font>
    <font>
      <sz val="12"/>
      <color rgb="FF0070C0"/>
      <name val="宋体"/>
      <charset val="134"/>
    </font>
    <font>
      <b/>
      <sz val="13.5"/>
      <color theme="1"/>
      <name val="宋体"/>
      <charset val="134"/>
    </font>
    <font>
      <sz val="13.5"/>
      <color theme="1"/>
      <name val="Tahoma"/>
      <charset val="134"/>
    </font>
    <font>
      <sz val="10"/>
      <color theme="1"/>
      <name val="宋体"/>
      <charset val="134"/>
    </font>
    <font>
      <sz val="11"/>
      <color rgb="FF00B0F0"/>
      <name val="Tahoma"/>
      <charset val="134"/>
    </font>
    <font>
      <sz val="11"/>
      <color rgb="FF00B0F0"/>
      <name val="宋体"/>
      <charset val="134"/>
    </font>
    <font>
      <sz val="11"/>
      <color theme="9" tint="-0.499984740745262"/>
      <name val="Tahoma"/>
      <charset val="134"/>
    </font>
    <font>
      <sz val="11"/>
      <color theme="9" tint="-0.499984740745262"/>
      <name val="宋体"/>
      <charset val="134"/>
    </font>
    <font>
      <sz val="10.5"/>
      <color theme="1"/>
      <name val="Tahoma"/>
      <charset val="134"/>
    </font>
    <font>
      <sz val="20"/>
      <color rgb="FFFFCC00"/>
      <name val="Wingdings"/>
      <charset val="2"/>
    </font>
    <font>
      <b/>
      <sz val="10"/>
      <color rgb="FFFF0000"/>
      <name val="Tahoma"/>
      <charset val="134"/>
    </font>
    <font>
      <b/>
      <sz val="14"/>
      <color rgb="FFFF0000"/>
      <name val="宋体"/>
      <charset val="134"/>
    </font>
    <font>
      <sz val="12"/>
      <color rgb="FF333333"/>
      <name val="宋体"/>
      <charset val="134"/>
    </font>
    <font>
      <b/>
      <sz val="11"/>
      <color theme="0"/>
      <name val="宋体"/>
      <charset val="134"/>
    </font>
    <font>
      <b/>
      <sz val="11"/>
      <color theme="0"/>
      <name val="Tahoma"/>
      <charset val="134"/>
    </font>
    <font>
      <sz val="11"/>
      <color rgb="FF0070C0"/>
      <name val="宋体"/>
      <charset val="134"/>
    </font>
    <font>
      <sz val="11"/>
      <color rgb="FF0070C0"/>
      <name val="Tahoma"/>
      <charset val="134"/>
    </font>
    <font>
      <sz val="11"/>
      <color theme="8" tint="-0.249977111117893"/>
      <name val="宋体"/>
      <charset val="134"/>
    </font>
    <font>
      <sz val="11"/>
      <color theme="8" tint="-0.249977111117893"/>
      <name val="Tahoma"/>
      <charset val="134"/>
    </font>
    <font>
      <sz val="11"/>
      <color theme="1"/>
      <name val="华文中宋"/>
      <charset val="134"/>
    </font>
    <font>
      <sz val="14"/>
      <color theme="1"/>
      <name val="Tahoma"/>
      <charset val="134"/>
    </font>
    <font>
      <sz val="11"/>
      <color theme="1" tint="0.14996795556505"/>
      <name val="Tahoma"/>
      <charset val="134"/>
    </font>
    <font>
      <sz val="11"/>
      <color theme="1" tint="0.14996795556505"/>
      <name val="宋体"/>
      <charset val="134"/>
    </font>
    <font>
      <sz val="12"/>
      <name val="Tahoma"/>
      <charset val="134"/>
    </font>
    <font>
      <sz val="12"/>
      <color rgb="FFFF0000"/>
      <name val="Tahoma"/>
      <charset val="134"/>
    </font>
    <font>
      <sz val="12"/>
      <color theme="1"/>
      <name val="宋体"/>
      <charset val="134"/>
    </font>
    <font>
      <sz val="10"/>
      <name val="宋体"/>
      <charset val="134"/>
    </font>
    <font>
      <sz val="12"/>
      <color theme="1"/>
      <name val="Times New Roman"/>
      <charset val="134"/>
    </font>
    <font>
      <b/>
      <sz val="12"/>
      <name val="宋体"/>
      <charset val="134"/>
    </font>
    <font>
      <sz val="11"/>
      <color theme="1"/>
      <name val="Times New Roman"/>
      <charset val="134"/>
    </font>
    <font>
      <sz val="11"/>
      <color theme="1"/>
      <name val="Symbol"/>
      <charset val="2"/>
    </font>
    <font>
      <sz val="16"/>
      <color rgb="FFFF0000"/>
      <name val="宋体"/>
      <charset val="134"/>
    </font>
    <font>
      <b/>
      <sz val="12"/>
      <color rgb="FFFF0000"/>
      <name val="宋体"/>
      <charset val="134"/>
    </font>
    <font>
      <sz val="10"/>
      <name val="Arial"/>
      <charset val="134"/>
    </font>
    <font>
      <sz val="11"/>
      <name val="Arial"/>
      <charset val="134"/>
    </font>
    <font>
      <sz val="14"/>
      <color theme="1"/>
      <name val="宋体"/>
      <charset val="134"/>
    </font>
    <font>
      <b/>
      <sz val="14"/>
      <color rgb="FFFF0000"/>
      <name val="Tahoma"/>
      <charset val="134"/>
    </font>
    <font>
      <sz val="14"/>
      <color rgb="FFFF0000"/>
      <name val="宋体"/>
      <charset val="134"/>
    </font>
    <font>
      <sz val="14"/>
      <color rgb="FFFF0000"/>
      <name val="Tahoma"/>
      <charset val="134"/>
    </font>
    <font>
      <sz val="16"/>
      <color theme="1"/>
      <name val="宋体"/>
      <charset val="134"/>
      <scheme val="minor"/>
    </font>
    <font>
      <b/>
      <sz val="11"/>
      <color rgb="FFFF0000"/>
      <name val="宋体"/>
      <charset val="134"/>
      <scheme val="minor"/>
    </font>
    <font>
      <sz val="11"/>
      <color rgb="FFFF0000"/>
      <name val="宋体"/>
      <charset val="134"/>
      <scheme val="minor"/>
    </font>
    <font>
      <b/>
      <sz val="16"/>
      <color theme="1"/>
      <name val="宋体"/>
      <charset val="134"/>
      <scheme val="minor"/>
    </font>
    <font>
      <b/>
      <sz val="12"/>
      <color rgb="FFFF0000"/>
      <name val="宋体"/>
      <charset val="134"/>
      <scheme val="minor"/>
    </font>
    <font>
      <b/>
      <sz val="11"/>
      <color theme="1"/>
      <name val="宋体"/>
      <charset val="134"/>
      <scheme val="minor"/>
    </font>
    <font>
      <sz val="10"/>
      <color theme="1"/>
      <name val="宋体"/>
      <charset val="134"/>
      <scheme val="minor"/>
    </font>
    <font>
      <sz val="9"/>
      <color theme="1"/>
      <name val="宋体"/>
      <charset val="134"/>
      <scheme val="minor"/>
    </font>
    <font>
      <b/>
      <sz val="11"/>
      <color theme="4" tint="-0.249977111117893"/>
      <name val="宋体"/>
      <charset val="134"/>
      <scheme val="minor"/>
    </font>
    <font>
      <sz val="12"/>
      <color theme="1"/>
      <name val="宋体"/>
      <charset val="134"/>
      <scheme val="minor"/>
    </font>
    <font>
      <sz val="11"/>
      <name val="宋体"/>
      <charset val="134"/>
      <scheme val="minor"/>
    </font>
    <font>
      <sz val="11"/>
      <color rgb="FF000000"/>
      <name val="宋体"/>
      <charset val="134"/>
    </font>
    <font>
      <sz val="11"/>
      <color theme="1"/>
      <name val="宋体"/>
      <charset val="134"/>
      <scheme val="major"/>
    </font>
    <font>
      <sz val="8"/>
      <color theme="1"/>
      <name val="宋体"/>
      <charset val="134"/>
      <scheme val="minor"/>
    </font>
    <font>
      <sz val="10"/>
      <name val="Tahoma"/>
      <charset val="134"/>
    </font>
    <font>
      <b/>
      <sz val="11"/>
      <color rgb="FF92D050"/>
      <name val="Tahoma"/>
      <charset val="134"/>
    </font>
    <font>
      <b/>
      <sz val="11"/>
      <color theme="1"/>
      <name val="微软雅黑"/>
      <charset val="134"/>
    </font>
    <font>
      <b/>
      <sz val="11"/>
      <name val="宋体"/>
      <charset val="134"/>
    </font>
    <font>
      <sz val="11"/>
      <color theme="3" tint="0.399945066682943"/>
      <name val="宋体"/>
      <charset val="134"/>
      <scheme val="minor"/>
    </font>
    <font>
      <sz val="12"/>
      <name val="宋体"/>
      <charset val="134"/>
      <scheme val="minor"/>
    </font>
    <font>
      <b/>
      <sz val="12"/>
      <name val="宋体"/>
      <charset val="134"/>
      <scheme val="minor"/>
    </font>
    <font>
      <b/>
      <sz val="12"/>
      <color indexed="62"/>
      <name val="宋体"/>
      <charset val="134"/>
      <scheme val="minor"/>
    </font>
    <font>
      <b/>
      <sz val="11"/>
      <name val="宋体"/>
      <charset val="134"/>
      <scheme val="minor"/>
    </font>
    <font>
      <u/>
      <sz val="11"/>
      <color rgb="FF800080"/>
      <name val="宋体"/>
      <charset val="134"/>
    </font>
    <font>
      <u/>
      <sz val="11"/>
      <color theme="10"/>
      <name val="宋体"/>
      <charset val="134"/>
    </font>
    <font>
      <u/>
      <sz val="11"/>
      <color theme="10"/>
      <name val="Tahoma"/>
      <charset val="134"/>
    </font>
    <font>
      <sz val="11"/>
      <color theme="1"/>
      <name val="宋体"/>
      <charset val="0"/>
      <scheme val="minor"/>
    </font>
    <font>
      <sz val="11"/>
      <color theme="0"/>
      <name val="宋体"/>
      <charset val="0"/>
      <scheme val="minor"/>
    </font>
    <font>
      <sz val="11"/>
      <color rgb="FFFF0000"/>
      <name val="宋体"/>
      <charset val="0"/>
      <scheme val="minor"/>
    </font>
    <font>
      <sz val="11"/>
      <color rgb="FF006100"/>
      <name val="宋体"/>
      <charset val="0"/>
      <scheme val="minor"/>
    </font>
    <font>
      <sz val="11"/>
      <color rgb="FFFA7D00"/>
      <name val="宋体"/>
      <charset val="0"/>
      <scheme val="minor"/>
    </font>
    <font>
      <u/>
      <sz val="11"/>
      <color rgb="FF800080"/>
      <name val="宋体"/>
      <charset val="0"/>
      <scheme val="minor"/>
    </font>
    <font>
      <sz val="11"/>
      <color rgb="FF3F3F76"/>
      <name val="宋体"/>
      <charset val="0"/>
      <scheme val="minor"/>
    </font>
    <font>
      <b/>
      <sz val="11"/>
      <color theme="1"/>
      <name val="宋体"/>
      <charset val="0"/>
      <scheme val="minor"/>
    </font>
    <font>
      <sz val="11"/>
      <color rgb="FF9C0006"/>
      <name val="宋体"/>
      <charset val="0"/>
      <scheme val="minor"/>
    </font>
    <font>
      <i/>
      <sz val="11"/>
      <color rgb="FF7F7F7F"/>
      <name val="宋体"/>
      <charset val="0"/>
      <scheme val="minor"/>
    </font>
    <font>
      <b/>
      <sz val="11"/>
      <color theme="3"/>
      <name val="宋体"/>
      <charset val="134"/>
      <scheme val="minor"/>
    </font>
    <font>
      <b/>
      <sz val="11"/>
      <color rgb="FF3F3F3F"/>
      <name val="宋体"/>
      <charset val="0"/>
      <scheme val="minor"/>
    </font>
    <font>
      <b/>
      <sz val="18"/>
      <color theme="3"/>
      <name val="宋体"/>
      <charset val="134"/>
      <scheme val="minor"/>
    </font>
    <font>
      <u/>
      <sz val="11"/>
      <color theme="10"/>
      <name val="宋体"/>
      <charset val="134"/>
      <scheme val="minor"/>
    </font>
    <font>
      <u/>
      <sz val="11"/>
      <color rgb="FF0000FF"/>
      <name val="宋体"/>
      <charset val="134"/>
      <scheme val="minor"/>
    </font>
    <font>
      <b/>
      <sz val="15"/>
      <color theme="3"/>
      <name val="宋体"/>
      <charset val="134"/>
      <scheme val="minor"/>
    </font>
    <font>
      <b/>
      <sz val="13"/>
      <color theme="3"/>
      <name val="宋体"/>
      <charset val="134"/>
      <scheme val="minor"/>
    </font>
    <font>
      <b/>
      <sz val="11"/>
      <color rgb="FFFA7D00"/>
      <name val="宋体"/>
      <charset val="0"/>
      <scheme val="minor"/>
    </font>
    <font>
      <sz val="11"/>
      <color rgb="FF9C6500"/>
      <name val="宋体"/>
      <charset val="0"/>
      <scheme val="minor"/>
    </font>
    <font>
      <b/>
      <sz val="11"/>
      <color rgb="FFFFFFFF"/>
      <name val="宋体"/>
      <charset val="0"/>
      <scheme val="minor"/>
    </font>
    <font>
      <sz val="12"/>
      <name val="MS Mincho"/>
      <charset val="128"/>
    </font>
    <font>
      <vertAlign val="subscript"/>
      <sz val="14"/>
      <color theme="1"/>
      <name val="Tahoma"/>
      <charset val="134"/>
    </font>
    <font>
      <sz val="10.5"/>
      <color theme="9" tint="-0.249977111117893"/>
      <name val="宋体"/>
      <charset val="134"/>
    </font>
    <font>
      <sz val="11"/>
      <color theme="9" tint="-0.249977111117893"/>
      <name val="宋体"/>
      <charset val="134"/>
    </font>
    <font>
      <sz val="11"/>
      <color rgb="FFFF0000"/>
      <name val="微软雅黑"/>
      <charset val="134"/>
    </font>
    <font>
      <vertAlign val="superscript"/>
      <sz val="14"/>
      <color theme="1"/>
      <name val="微软雅黑"/>
      <charset val="134"/>
    </font>
    <font>
      <vertAlign val="superscript"/>
      <sz val="12"/>
      <color theme="1"/>
      <name val="微软雅黑"/>
      <charset val="134"/>
    </font>
    <font>
      <vertAlign val="superscript"/>
      <sz val="12"/>
      <color theme="1"/>
      <name val="宋体"/>
      <charset val="134"/>
    </font>
    <font>
      <vertAlign val="superscript"/>
      <sz val="11"/>
      <color theme="1"/>
      <name val="宋体"/>
      <charset val="134"/>
    </font>
    <font>
      <vertAlign val="superscript"/>
      <sz val="12"/>
      <color theme="1"/>
      <name val="Tahoma"/>
      <charset val="134"/>
    </font>
    <font>
      <vertAlign val="subscript"/>
      <sz val="14"/>
      <name val="Tahoma"/>
      <charset val="134"/>
    </font>
    <font>
      <sz val="9"/>
      <color theme="1"/>
      <name val="Tahoma"/>
      <charset val="134"/>
    </font>
    <font>
      <sz val="10.5"/>
      <name val="宋体"/>
      <charset val="134"/>
    </font>
    <font>
      <sz val="10"/>
      <color theme="0" tint="-0.499984740745262"/>
      <name val="宋体"/>
      <charset val="134"/>
    </font>
    <font>
      <b/>
      <sz val="11"/>
      <color theme="1"/>
      <name val="宋体"/>
      <charset val="134"/>
    </font>
    <font>
      <b/>
      <sz val="11"/>
      <color theme="3" tint="0.399945066682943"/>
      <name val="宋体"/>
      <charset val="134"/>
    </font>
    <font>
      <sz val="12"/>
      <color rgb="FFFF0000"/>
      <name val="宋体"/>
      <charset val="134"/>
    </font>
    <font>
      <vertAlign val="superscript"/>
      <sz val="12"/>
      <name val="Tahoma"/>
      <charset val="134"/>
    </font>
    <font>
      <vertAlign val="superscript"/>
      <sz val="12"/>
      <color rgb="FF0070C0"/>
      <name val="Tahoma"/>
      <charset val="134"/>
    </font>
    <font>
      <u/>
      <sz val="16"/>
      <name val="宋体"/>
      <charset val="134"/>
    </font>
    <font>
      <sz val="16"/>
      <name val="宋体"/>
      <charset val="134"/>
    </font>
    <font>
      <b/>
      <sz val="16"/>
      <name val="宋体"/>
      <charset val="134"/>
    </font>
    <font>
      <i/>
      <sz val="16"/>
      <name val="宋体"/>
      <charset val="134"/>
    </font>
    <font>
      <sz val="16"/>
      <color rgb="FF00B050"/>
      <name val="宋体"/>
      <charset val="134"/>
    </font>
    <font>
      <strike/>
      <sz val="16"/>
      <name val="宋体"/>
      <charset val="134"/>
    </font>
    <font>
      <u/>
      <sz val="11"/>
      <color rgb="FFFF0000"/>
      <name val="Tahoma"/>
      <charset val="134"/>
    </font>
    <font>
      <b/>
      <u/>
      <sz val="11"/>
      <color rgb="FFFF0000"/>
      <name val="Tahoma"/>
      <charset val="134"/>
    </font>
    <font>
      <b/>
      <u/>
      <sz val="11"/>
      <name val="Tahoma"/>
      <charset val="134"/>
    </font>
    <font>
      <b/>
      <u/>
      <sz val="11"/>
      <color theme="1"/>
      <name val="Tahoma"/>
      <charset val="134"/>
    </font>
    <font>
      <b/>
      <i/>
      <u/>
      <sz val="11"/>
      <color rgb="FFFF0000"/>
      <name val="Tahoma"/>
      <charset val="134"/>
    </font>
    <font>
      <b/>
      <i/>
      <u/>
      <sz val="11"/>
      <color theme="1"/>
      <name val="Tahoma"/>
      <charset val="134"/>
    </font>
    <font>
      <i/>
      <sz val="11"/>
      <color theme="1"/>
      <name val="Tahoma"/>
      <charset val="134"/>
    </font>
    <font>
      <b/>
      <i/>
      <u/>
      <sz val="11"/>
      <color rgb="FF00B050"/>
      <name val="Tahoma"/>
      <charset val="134"/>
    </font>
    <font>
      <i/>
      <sz val="11"/>
      <color rgb="FF00B050"/>
      <name val="Tahoma"/>
      <charset val="134"/>
    </font>
    <font>
      <sz val="11"/>
      <color rgb="FF00B050"/>
      <name val="Tahoma"/>
      <charset val="134"/>
    </font>
    <font>
      <b/>
      <sz val="11"/>
      <color rgb="FF00B050"/>
      <name val="Tahoma"/>
      <charset val="134"/>
    </font>
    <font>
      <b/>
      <i/>
      <sz val="11"/>
      <color rgb="FF00B050"/>
      <name val="Tahoma"/>
      <charset val="134"/>
    </font>
    <font>
      <b/>
      <i/>
      <strike/>
      <u/>
      <sz val="11"/>
      <color rgb="FF00B050"/>
      <name val="Tahoma"/>
      <charset val="134"/>
    </font>
    <font>
      <strike/>
      <sz val="11"/>
      <color theme="1"/>
      <name val="Tahoma"/>
      <charset val="134"/>
    </font>
    <font>
      <b/>
      <i/>
      <strike/>
      <sz val="11"/>
      <color theme="1"/>
      <name val="Tahoma"/>
      <charset val="134"/>
    </font>
    <font>
      <b/>
      <i/>
      <strike/>
      <sz val="11"/>
      <color rgb="FF00B050"/>
      <name val="Tahoma"/>
      <charset val="134"/>
    </font>
    <font>
      <b/>
      <strike/>
      <sz val="11"/>
      <color rgb="FF00B050"/>
      <name val="Tahoma"/>
      <charset val="134"/>
    </font>
    <font>
      <i/>
      <strike/>
      <sz val="11"/>
      <color rgb="FF00B050"/>
      <name val="Tahoma"/>
      <charset val="134"/>
    </font>
    <font>
      <b/>
      <strike/>
      <u/>
      <sz val="11"/>
      <color rgb="FF00B050"/>
      <name val="Tahoma"/>
      <charset val="134"/>
    </font>
    <font>
      <strike/>
      <sz val="11"/>
      <color rgb="FF00B050"/>
      <name val="Tahoma"/>
      <charset val="134"/>
    </font>
    <font>
      <i/>
      <strike/>
      <sz val="11"/>
      <color theme="1"/>
      <name val="Tahoma"/>
      <charset val="134"/>
    </font>
    <font>
      <i/>
      <sz val="12"/>
      <color theme="1"/>
      <name val="Times New Roman"/>
      <charset val="134"/>
    </font>
    <font>
      <vertAlign val="subscript"/>
      <sz val="12"/>
      <color theme="1"/>
      <name val="Times New Roman"/>
      <charset val="134"/>
    </font>
    <font>
      <sz val="11"/>
      <name val="MS Mincho"/>
      <charset val="128"/>
    </font>
    <font>
      <vertAlign val="subscript"/>
      <sz val="14"/>
      <color theme="1"/>
      <name val="宋体"/>
      <charset val="134"/>
      <scheme val="minor"/>
    </font>
    <font>
      <vertAlign val="subscript"/>
      <sz val="14"/>
      <color theme="1"/>
      <name val="宋体"/>
      <charset val="134"/>
    </font>
    <font>
      <vertAlign val="superscript"/>
      <sz val="12"/>
      <color theme="1"/>
      <name val="宋体"/>
      <charset val="134"/>
      <scheme val="minor"/>
    </font>
    <font>
      <vertAlign val="superscript"/>
      <sz val="10"/>
      <color theme="1"/>
      <name val="宋体"/>
      <charset val="134"/>
      <scheme val="minor"/>
    </font>
    <font>
      <sz val="14"/>
      <color theme="1"/>
      <name val="宋体"/>
      <charset val="134"/>
      <scheme val="minor"/>
    </font>
    <font>
      <vertAlign val="subscript"/>
      <sz val="12"/>
      <color theme="1"/>
      <name val="宋体"/>
      <charset val="134"/>
      <scheme val="minor"/>
    </font>
    <font>
      <vertAlign val="subscript"/>
      <sz val="11"/>
      <color theme="1"/>
      <name val="宋体"/>
      <charset val="134"/>
      <scheme val="minor"/>
    </font>
    <font>
      <vertAlign val="superscript"/>
      <sz val="11"/>
      <color theme="1"/>
      <name val="宋体"/>
      <charset val="134"/>
      <scheme val="minor"/>
    </font>
    <font>
      <b/>
      <sz val="12"/>
      <color rgb="FF7030A0"/>
      <name val="宋体"/>
      <charset val="134"/>
    </font>
    <font>
      <i/>
      <sz val="10.5"/>
      <color theme="1"/>
      <name val="仿宋"/>
      <charset val="134"/>
    </font>
    <font>
      <i/>
      <sz val="10.5"/>
      <color theme="1"/>
      <name val="Tahoma"/>
      <charset val="134"/>
    </font>
    <font>
      <sz val="12"/>
      <color rgb="FFFF0000"/>
      <name val="宋体"/>
      <charset val="134"/>
      <scheme val="minor"/>
    </font>
    <font>
      <vertAlign val="superscript"/>
      <sz val="12"/>
      <color rgb="FFFF0000"/>
      <name val="宋体"/>
      <charset val="134"/>
      <scheme val="minor"/>
    </font>
    <font>
      <sz val="12"/>
      <name val="宋体"/>
      <charset val="134"/>
    </font>
    <font>
      <b/>
      <sz val="9"/>
      <name val="宋体"/>
      <charset val="134"/>
    </font>
    <font>
      <b/>
      <sz val="9"/>
      <name val="Tahoma"/>
      <charset val="134"/>
    </font>
    <font>
      <sz val="11"/>
      <name val="宋体"/>
      <charset val="134"/>
    </font>
    <font>
      <sz val="9"/>
      <name val="Tahoma"/>
      <charset val="134"/>
    </font>
    <font>
      <sz val="10"/>
      <name val="宋体"/>
      <charset val="134"/>
    </font>
    <font>
      <sz val="9"/>
      <name val="宋体"/>
      <charset val="134"/>
    </font>
  </fonts>
  <fills count="45">
    <fill>
      <patternFill patternType="none"/>
    </fill>
    <fill>
      <patternFill patternType="gray125"/>
    </fill>
    <fill>
      <patternFill patternType="solid">
        <fgColor theme="4" tint="0.799951170384838"/>
        <bgColor indexed="64"/>
      </patternFill>
    </fill>
    <fill>
      <patternFill patternType="solid">
        <fgColor theme="0"/>
        <bgColor indexed="64"/>
      </patternFill>
    </fill>
    <fill>
      <patternFill patternType="solid">
        <fgColor theme="9" tint="0.799951170384838"/>
        <bgColor indexed="64"/>
      </patternFill>
    </fill>
    <fill>
      <patternFill patternType="solid">
        <fgColor theme="3" tint="0.799951170384838"/>
        <bgColor indexed="64"/>
      </patternFill>
    </fill>
    <fill>
      <patternFill patternType="solid">
        <fgColor theme="8" tint="0.399945066682943"/>
        <bgColor indexed="64"/>
      </patternFill>
    </fill>
    <fill>
      <patternFill patternType="solid">
        <fgColor rgb="FFFFFF00"/>
        <bgColor indexed="64"/>
      </patternFill>
    </fill>
    <fill>
      <patternFill patternType="solid">
        <fgColor theme="3" tint="0.399945066682943"/>
        <bgColor indexed="64"/>
      </patternFill>
    </fill>
    <fill>
      <patternFill patternType="solid">
        <fgColor theme="5" tint="0.799951170384838"/>
        <bgColor indexed="64"/>
      </patternFill>
    </fill>
    <fill>
      <patternFill patternType="solid">
        <fgColor theme="9" tint="0.599993896298105"/>
        <bgColor indexed="64"/>
      </patternFill>
    </fill>
    <fill>
      <patternFill patternType="solid">
        <fgColor theme="8" tint="0.799951170384838"/>
        <bgColor indexed="64"/>
      </patternFill>
    </fill>
    <fill>
      <patternFill patternType="solid">
        <fgColor theme="0" tint="-0.0499893185216834"/>
        <bgColor indexed="64"/>
      </patternFill>
    </fill>
    <fill>
      <patternFill patternType="lightDown"/>
    </fill>
    <fill>
      <patternFill patternType="solid">
        <fgColor rgb="FF92D050"/>
        <bgColor indexed="64"/>
      </patternFill>
    </fill>
    <fill>
      <patternFill patternType="solid">
        <fgColor theme="5" tint="0.599993896298105"/>
        <bgColor indexed="64"/>
      </patternFill>
    </fill>
    <fill>
      <patternFill patternType="solid">
        <fgColor theme="4" tint="0.399975585192419"/>
        <bgColor indexed="64"/>
      </patternFill>
    </fill>
    <fill>
      <patternFill patternType="solid">
        <fgColor theme="8"/>
        <bgColor indexed="64"/>
      </patternFill>
    </fill>
    <fill>
      <patternFill patternType="solid">
        <fgColor rgb="FFC6EFCE"/>
        <bgColor indexed="64"/>
      </patternFill>
    </fill>
    <fill>
      <patternFill patternType="solid">
        <fgColor theme="6" tint="0.599993896298105"/>
        <bgColor indexed="64"/>
      </patternFill>
    </fill>
    <fill>
      <patternFill patternType="solid">
        <fgColor theme="8" tint="0.599993896298105"/>
        <bgColor indexed="64"/>
      </patternFill>
    </fill>
    <fill>
      <patternFill patternType="solid">
        <fgColor theme="9" tint="0.399975585192419"/>
        <bgColor indexed="64"/>
      </patternFill>
    </fill>
    <fill>
      <patternFill patternType="solid">
        <fgColor theme="8" tint="0.399975585192419"/>
        <bgColor indexed="64"/>
      </patternFill>
    </fill>
    <fill>
      <patternFill patternType="solid">
        <fgColor theme="6"/>
        <bgColor indexed="64"/>
      </patternFill>
    </fill>
    <fill>
      <patternFill patternType="solid">
        <fgColor theme="4" tint="0.799981688894314"/>
        <bgColor indexed="64"/>
      </patternFill>
    </fill>
    <fill>
      <patternFill patternType="solid">
        <fgColor theme="7" tint="0.399975585192419"/>
        <bgColor indexed="64"/>
      </patternFill>
    </fill>
    <fill>
      <patternFill patternType="solid">
        <fgColor theme="6" tint="0.799981688894314"/>
        <bgColor indexed="64"/>
      </patternFill>
    </fill>
    <fill>
      <patternFill patternType="solid">
        <fgColor rgb="FFFFCC99"/>
        <bgColor indexed="64"/>
      </patternFill>
    </fill>
    <fill>
      <patternFill patternType="solid">
        <fgColor rgb="FFFFC7CE"/>
        <bgColor indexed="64"/>
      </patternFill>
    </fill>
    <fill>
      <patternFill patternType="solid">
        <fgColor theme="4" tint="0.599993896298105"/>
        <bgColor indexed="64"/>
      </patternFill>
    </fill>
    <fill>
      <patternFill patternType="solid">
        <fgColor theme="5"/>
        <bgColor indexed="64"/>
      </patternFill>
    </fill>
    <fill>
      <patternFill patternType="solid">
        <fgColor theme="7" tint="0.799981688894314"/>
        <bgColor indexed="64"/>
      </patternFill>
    </fill>
    <fill>
      <patternFill patternType="solid">
        <fgColor theme="4"/>
        <bgColor indexed="64"/>
      </patternFill>
    </fill>
    <fill>
      <patternFill patternType="solid">
        <fgColor theme="8" tint="0.799981688894314"/>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rgb="FFF2F2F2"/>
        <bgColor indexed="64"/>
      </patternFill>
    </fill>
    <fill>
      <patternFill patternType="solid">
        <fgColor theme="7" tint="0.599993896298105"/>
        <bgColor indexed="64"/>
      </patternFill>
    </fill>
    <fill>
      <patternFill patternType="solid">
        <fgColor theme="7"/>
        <bgColor indexed="64"/>
      </patternFill>
    </fill>
    <fill>
      <patternFill patternType="solid">
        <fgColor rgb="FFFFEB9C"/>
        <bgColor indexed="64"/>
      </patternFill>
    </fill>
    <fill>
      <patternFill patternType="solid">
        <fgColor rgb="FFA5A5A5"/>
        <bgColor indexed="64"/>
      </patternFill>
    </fill>
    <fill>
      <patternFill patternType="solid">
        <fgColor theme="9" tint="0.799981688894314"/>
        <bgColor indexed="64"/>
      </patternFill>
    </fill>
    <fill>
      <patternFill patternType="solid">
        <fgColor theme="5" tint="0.799981688894314"/>
        <bgColor indexed="64"/>
      </patternFill>
    </fill>
    <fill>
      <patternFill patternType="solid">
        <fgColor theme="9"/>
        <bgColor indexed="64"/>
      </patternFill>
    </fill>
  </fills>
  <borders count="68">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style="thin">
        <color auto="1"/>
      </bottom>
      <diagonal/>
    </border>
    <border>
      <left/>
      <right/>
      <top style="thin">
        <color auto="1"/>
      </top>
      <bottom style="thin">
        <color auto="1"/>
      </bottom>
      <diagonal/>
    </border>
    <border>
      <left style="thin">
        <color auto="1"/>
      </left>
      <right style="thin">
        <color auto="1"/>
      </right>
      <top style="thin">
        <color auto="1"/>
      </top>
      <bottom/>
      <diagonal/>
    </border>
    <border>
      <left style="thin">
        <color auto="1"/>
      </left>
      <right/>
      <top/>
      <bottom/>
      <diagonal/>
    </border>
    <border>
      <left/>
      <right/>
      <top/>
      <bottom style="thin">
        <color auto="1"/>
      </bottom>
      <diagonal/>
    </border>
    <border>
      <left style="thin">
        <color auto="1"/>
      </left>
      <right style="thin">
        <color auto="1"/>
      </right>
      <top/>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style="medium">
        <color auto="1"/>
      </left>
      <right/>
      <top/>
      <bottom/>
      <diagonal/>
    </border>
    <border>
      <left/>
      <right style="medium">
        <color auto="1"/>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medium">
        <color auto="1"/>
      </left>
      <right style="thin">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medium">
        <color auto="1"/>
      </right>
      <top style="medium">
        <color auto="1"/>
      </top>
      <bottom style="thin">
        <color auto="1"/>
      </bottom>
      <diagonal/>
    </border>
    <border>
      <left/>
      <right style="medium">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medium">
        <color auto="1"/>
      </right>
      <top style="thin">
        <color auto="1"/>
      </top>
      <bottom style="medium">
        <color auto="1"/>
      </bottom>
      <diagonal/>
    </border>
    <border>
      <left style="medium">
        <color auto="1"/>
      </left>
      <right style="thin">
        <color indexed="8"/>
      </right>
      <top style="medium">
        <color auto="1"/>
      </top>
      <bottom/>
      <diagonal/>
    </border>
    <border>
      <left style="thin">
        <color indexed="8"/>
      </left>
      <right style="thin">
        <color indexed="8"/>
      </right>
      <top style="medium">
        <color auto="1"/>
      </top>
      <bottom/>
      <diagonal/>
    </border>
    <border>
      <left style="thin">
        <color indexed="8"/>
      </left>
      <right/>
      <top style="medium">
        <color auto="1"/>
      </top>
      <bottom style="thin">
        <color indexed="8"/>
      </bottom>
      <diagonal/>
    </border>
    <border>
      <left style="medium">
        <color auto="1"/>
      </left>
      <right style="thin">
        <color indexed="8"/>
      </right>
      <top/>
      <bottom style="thin">
        <color indexed="8"/>
      </bottom>
      <diagonal/>
    </border>
    <border>
      <left style="thin">
        <color indexed="8"/>
      </left>
      <right style="thin">
        <color indexed="8"/>
      </right>
      <top/>
      <bottom style="thin">
        <color indexed="8"/>
      </bottom>
      <diagonal/>
    </border>
    <border>
      <left style="thin">
        <color indexed="8"/>
      </left>
      <right style="thin">
        <color indexed="8"/>
      </right>
      <top style="thin">
        <color indexed="8"/>
      </top>
      <bottom/>
      <diagonal/>
    </border>
    <border>
      <left style="medium">
        <color auto="1"/>
      </left>
      <right style="thin">
        <color indexed="8"/>
      </right>
      <top style="thin">
        <color indexed="8"/>
      </top>
      <bottom/>
      <diagonal/>
    </border>
    <border>
      <left style="thin">
        <color indexed="8"/>
      </left>
      <right style="thin">
        <color indexed="8"/>
      </right>
      <top style="thin">
        <color indexed="8"/>
      </top>
      <bottom style="thin">
        <color indexed="8"/>
      </bottom>
      <diagonal/>
    </border>
    <border>
      <left style="medium">
        <color auto="1"/>
      </left>
      <right style="thin">
        <color indexed="8"/>
      </right>
      <top/>
      <bottom/>
      <diagonal/>
    </border>
    <border>
      <left style="medium">
        <color auto="1"/>
      </left>
      <right style="thin">
        <color indexed="8"/>
      </right>
      <top/>
      <bottom style="medium">
        <color auto="1"/>
      </bottom>
      <diagonal/>
    </border>
    <border>
      <left style="thin">
        <color indexed="8"/>
      </left>
      <right style="thin">
        <color indexed="8"/>
      </right>
      <top style="thin">
        <color indexed="8"/>
      </top>
      <bottom style="medium">
        <color auto="1"/>
      </bottom>
      <diagonal/>
    </border>
    <border>
      <left style="medium">
        <color auto="1"/>
      </left>
      <right style="medium">
        <color auto="1"/>
      </right>
      <top style="medium">
        <color auto="1"/>
      </top>
      <bottom/>
      <diagonal/>
    </border>
    <border>
      <left style="medium">
        <color auto="1"/>
      </left>
      <right/>
      <top style="medium">
        <color auto="1"/>
      </top>
      <bottom style="medium">
        <color auto="1"/>
      </bottom>
      <diagonal/>
    </border>
    <border>
      <left style="medium">
        <color auto="1"/>
      </left>
      <right style="medium">
        <color auto="1"/>
      </right>
      <top/>
      <bottom style="medium">
        <color auto="1"/>
      </bottom>
      <diagonal/>
    </border>
    <border>
      <left style="medium">
        <color auto="1"/>
      </left>
      <right style="medium">
        <color auto="1"/>
      </right>
      <top style="medium">
        <color auto="1"/>
      </top>
      <bottom style="medium">
        <color auto="1"/>
      </bottom>
      <diagonal/>
    </border>
    <border>
      <left/>
      <right/>
      <top style="medium">
        <color auto="1"/>
      </top>
      <bottom style="thin">
        <color indexed="8"/>
      </bottom>
      <diagonal/>
    </border>
    <border>
      <left/>
      <right style="medium">
        <color auto="1"/>
      </right>
      <top style="medium">
        <color auto="1"/>
      </top>
      <bottom style="thin">
        <color indexed="8"/>
      </bottom>
      <diagonal/>
    </border>
    <border>
      <left style="thin">
        <color indexed="8"/>
      </left>
      <right/>
      <top style="thin">
        <color indexed="8"/>
      </top>
      <bottom/>
      <diagonal/>
    </border>
    <border>
      <left style="thin">
        <color indexed="8"/>
      </left>
      <right style="medium">
        <color auto="1"/>
      </right>
      <top style="thin">
        <color indexed="8"/>
      </top>
      <bottom/>
      <diagonal/>
    </border>
    <border>
      <left style="thin">
        <color indexed="8"/>
      </left>
      <right/>
      <top style="thin">
        <color indexed="8"/>
      </top>
      <bottom style="thin">
        <color indexed="8"/>
      </bottom>
      <diagonal/>
    </border>
    <border>
      <left style="thin">
        <color indexed="8"/>
      </left>
      <right style="medium">
        <color auto="1"/>
      </right>
      <top style="thin">
        <color indexed="8"/>
      </top>
      <bottom style="thin">
        <color indexed="8"/>
      </bottom>
      <diagonal/>
    </border>
    <border>
      <left style="thin">
        <color indexed="8"/>
      </left>
      <right/>
      <top style="thin">
        <color indexed="8"/>
      </top>
      <bottom style="medium">
        <color auto="1"/>
      </bottom>
      <diagonal/>
    </border>
    <border>
      <left style="thin">
        <color indexed="8"/>
      </left>
      <right style="medium">
        <color auto="1"/>
      </right>
      <top style="thin">
        <color indexed="8"/>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indexed="8"/>
      </right>
      <top style="thin">
        <color indexed="8"/>
      </top>
      <bottom style="thin">
        <color indexed="8"/>
      </bottom>
      <diagonal/>
    </border>
    <border>
      <left/>
      <right/>
      <top/>
      <bottom style="double">
        <color rgb="FFFF8001"/>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medium">
        <color theme="4"/>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s>
  <cellStyleXfs count="58">
    <xf numFmtId="0" fontId="0" fillId="0" borderId="0"/>
    <xf numFmtId="42" fontId="10" fillId="0" borderId="0" applyFont="0" applyFill="0" applyBorder="0" applyAlignment="0" applyProtection="0">
      <alignment vertical="center"/>
    </xf>
    <xf numFmtId="0" fontId="102" fillId="26" borderId="0" applyNumberFormat="0" applyBorder="0" applyAlignment="0" applyProtection="0">
      <alignment vertical="center"/>
    </xf>
    <xf numFmtId="0" fontId="108" fillId="27" borderId="61" applyNumberFormat="0" applyAlignment="0" applyProtection="0">
      <alignment vertical="center"/>
    </xf>
    <xf numFmtId="44" fontId="10" fillId="0" borderId="0" applyFont="0" applyFill="0" applyBorder="0" applyAlignment="0" applyProtection="0">
      <alignment vertical="center"/>
    </xf>
    <xf numFmtId="41" fontId="10" fillId="0" borderId="0" applyFont="0" applyFill="0" applyBorder="0" applyAlignment="0" applyProtection="0">
      <alignment vertical="center"/>
    </xf>
    <xf numFmtId="0" fontId="102" fillId="19" borderId="0" applyNumberFormat="0" applyBorder="0" applyAlignment="0" applyProtection="0">
      <alignment vertical="center"/>
    </xf>
    <xf numFmtId="0" fontId="110" fillId="28" borderId="0" applyNumberFormat="0" applyBorder="0" applyAlignment="0" applyProtection="0">
      <alignment vertical="center"/>
    </xf>
    <xf numFmtId="43" fontId="10" fillId="0" borderId="0" applyFont="0" applyFill="0" applyBorder="0" applyAlignment="0" applyProtection="0">
      <alignment vertical="center"/>
    </xf>
    <xf numFmtId="0" fontId="103" fillId="34" borderId="0" applyNumberFormat="0" applyBorder="0" applyAlignment="0" applyProtection="0">
      <alignment vertical="center"/>
    </xf>
    <xf numFmtId="0" fontId="101" fillId="0" borderId="0" applyNumberFormat="0" applyFill="0" applyBorder="0" applyAlignment="0" applyProtection="0">
      <alignment vertical="top"/>
      <protection locked="0"/>
    </xf>
    <xf numFmtId="9" fontId="10" fillId="0" borderId="0" applyFont="0" applyFill="0" applyBorder="0" applyAlignment="0" applyProtection="0">
      <alignment vertical="center"/>
    </xf>
    <xf numFmtId="0" fontId="107" fillId="0" borderId="0" applyNumberFormat="0" applyFill="0" applyBorder="0" applyAlignment="0" applyProtection="0">
      <alignment vertical="center"/>
    </xf>
    <xf numFmtId="0" fontId="10" fillId="0" borderId="0">
      <alignment vertical="center"/>
    </xf>
    <xf numFmtId="0" fontId="10" fillId="35" borderId="63" applyNumberFormat="0" applyFont="0" applyAlignment="0" applyProtection="0">
      <alignment vertical="center"/>
    </xf>
    <xf numFmtId="0" fontId="103" fillId="36" borderId="0" applyNumberFormat="0" applyBorder="0" applyAlignment="0" applyProtection="0">
      <alignment vertical="center"/>
    </xf>
    <xf numFmtId="0" fontId="112" fillId="0" borderId="0" applyNumberFormat="0" applyFill="0" applyBorder="0" applyAlignment="0" applyProtection="0">
      <alignment vertical="center"/>
    </xf>
    <xf numFmtId="0" fontId="104" fillId="0" borderId="0" applyNumberFormat="0" applyFill="0" applyBorder="0" applyAlignment="0" applyProtection="0">
      <alignment vertical="center"/>
    </xf>
    <xf numFmtId="0" fontId="114" fillId="0" borderId="0" applyNumberFormat="0" applyFill="0" applyBorder="0" applyAlignment="0" applyProtection="0">
      <alignment vertical="center"/>
    </xf>
    <xf numFmtId="0" fontId="111" fillId="0" borderId="0" applyNumberFormat="0" applyFill="0" applyBorder="0" applyAlignment="0" applyProtection="0">
      <alignment vertical="center"/>
    </xf>
    <xf numFmtId="0" fontId="10" fillId="0" borderId="0"/>
    <xf numFmtId="0" fontId="117" fillId="0" borderId="65" applyNumberFormat="0" applyFill="0" applyAlignment="0" applyProtection="0">
      <alignment vertical="center"/>
    </xf>
    <xf numFmtId="0" fontId="118" fillId="0" borderId="65" applyNumberFormat="0" applyFill="0" applyAlignment="0" applyProtection="0">
      <alignment vertical="center"/>
    </xf>
    <xf numFmtId="0" fontId="103" fillId="16" borderId="0" applyNumberFormat="0" applyBorder="0" applyAlignment="0" applyProtection="0">
      <alignment vertical="center"/>
    </xf>
    <xf numFmtId="0" fontId="112" fillId="0" borderId="66" applyNumberFormat="0" applyFill="0" applyAlignment="0" applyProtection="0">
      <alignment vertical="center"/>
    </xf>
    <xf numFmtId="0" fontId="103" fillId="25" borderId="0" applyNumberFormat="0" applyBorder="0" applyAlignment="0" applyProtection="0">
      <alignment vertical="center"/>
    </xf>
    <xf numFmtId="0" fontId="113" fillId="37" borderId="64" applyNumberFormat="0" applyAlignment="0" applyProtection="0">
      <alignment vertical="center"/>
    </xf>
    <xf numFmtId="0" fontId="119" fillId="37" borderId="61" applyNumberFormat="0" applyAlignment="0" applyProtection="0">
      <alignment vertical="center"/>
    </xf>
    <xf numFmtId="0" fontId="121" fillId="41" borderId="67" applyNumberFormat="0" applyAlignment="0" applyProtection="0">
      <alignment vertical="center"/>
    </xf>
    <xf numFmtId="0" fontId="102" fillId="42" borderId="0" applyNumberFormat="0" applyBorder="0" applyAlignment="0" applyProtection="0">
      <alignment vertical="center"/>
    </xf>
    <xf numFmtId="0" fontId="103" fillId="30" borderId="0" applyNumberFormat="0" applyBorder="0" applyAlignment="0" applyProtection="0">
      <alignment vertical="center"/>
    </xf>
    <xf numFmtId="0" fontId="106" fillId="0" borderId="60" applyNumberFormat="0" applyFill="0" applyAlignment="0" applyProtection="0">
      <alignment vertical="center"/>
    </xf>
    <xf numFmtId="0" fontId="109" fillId="0" borderId="62" applyNumberFormat="0" applyFill="0" applyAlignment="0" applyProtection="0">
      <alignment vertical="center"/>
    </xf>
    <xf numFmtId="0" fontId="105" fillId="18" borderId="0" applyNumberFormat="0" applyBorder="0" applyAlignment="0" applyProtection="0">
      <alignment vertical="center"/>
    </xf>
    <xf numFmtId="0" fontId="120" fillId="40" borderId="0" applyNumberFormat="0" applyBorder="0" applyAlignment="0" applyProtection="0">
      <alignment vertical="center"/>
    </xf>
    <xf numFmtId="0" fontId="102" fillId="33" borderId="0" applyNumberFormat="0" applyBorder="0" applyAlignment="0" applyProtection="0">
      <alignment vertical="center"/>
    </xf>
    <xf numFmtId="0" fontId="103" fillId="32" borderId="0" applyNumberFormat="0" applyBorder="0" applyAlignment="0" applyProtection="0">
      <alignment vertical="center"/>
    </xf>
    <xf numFmtId="0" fontId="102" fillId="24" borderId="0" applyNumberFormat="0" applyBorder="0" applyAlignment="0" applyProtection="0">
      <alignment vertical="center"/>
    </xf>
    <xf numFmtId="0" fontId="102" fillId="29" borderId="0" applyNumberFormat="0" applyBorder="0" applyAlignment="0" applyProtection="0">
      <alignment vertical="center"/>
    </xf>
    <xf numFmtId="0" fontId="102" fillId="43" borderId="0" applyNumberFormat="0" applyBorder="0" applyAlignment="0" applyProtection="0">
      <alignment vertical="center"/>
    </xf>
    <xf numFmtId="0" fontId="102" fillId="15" borderId="0" applyNumberFormat="0" applyBorder="0" applyAlignment="0" applyProtection="0">
      <alignment vertical="center"/>
    </xf>
    <xf numFmtId="0" fontId="103" fillId="23" borderId="0" applyNumberFormat="0" applyBorder="0" applyAlignment="0" applyProtection="0">
      <alignment vertical="center"/>
    </xf>
    <xf numFmtId="0" fontId="103" fillId="39" borderId="0" applyNumberFormat="0" applyBorder="0" applyAlignment="0" applyProtection="0">
      <alignment vertical="center"/>
    </xf>
    <xf numFmtId="0" fontId="102" fillId="31" borderId="0" applyNumberFormat="0" applyBorder="0" applyAlignment="0" applyProtection="0">
      <alignment vertical="center"/>
    </xf>
    <xf numFmtId="0" fontId="102" fillId="38" borderId="0" applyNumberFormat="0" applyBorder="0" applyAlignment="0" applyProtection="0">
      <alignment vertical="center"/>
    </xf>
    <xf numFmtId="0" fontId="103" fillId="17" borderId="0" applyNumberFormat="0" applyBorder="0" applyAlignment="0" applyProtection="0">
      <alignment vertical="center"/>
    </xf>
    <xf numFmtId="0" fontId="102" fillId="20" borderId="0" applyNumberFormat="0" applyBorder="0" applyAlignment="0" applyProtection="0">
      <alignment vertical="center"/>
    </xf>
    <xf numFmtId="0" fontId="103" fillId="22" borderId="0" applyNumberFormat="0" applyBorder="0" applyAlignment="0" applyProtection="0">
      <alignment vertical="center"/>
    </xf>
    <xf numFmtId="0" fontId="103" fillId="44" borderId="0" applyNumberFormat="0" applyBorder="0" applyAlignment="0" applyProtection="0">
      <alignment vertical="center"/>
    </xf>
    <xf numFmtId="0" fontId="102" fillId="10" borderId="0" applyNumberFormat="0" applyBorder="0" applyAlignment="0" applyProtection="0">
      <alignment vertical="center"/>
    </xf>
    <xf numFmtId="0" fontId="103" fillId="21" borderId="0" applyNumberFormat="0" applyBorder="0" applyAlignment="0" applyProtection="0">
      <alignment vertical="center"/>
    </xf>
    <xf numFmtId="0" fontId="36" fillId="0" borderId="0"/>
    <xf numFmtId="0" fontId="36" fillId="0" borderId="0">
      <alignment vertical="center"/>
    </xf>
    <xf numFmtId="0" fontId="36" fillId="0" borderId="0">
      <alignment vertical="center"/>
    </xf>
    <xf numFmtId="0" fontId="10" fillId="0" borderId="0">
      <alignment vertical="center"/>
    </xf>
    <xf numFmtId="0" fontId="122" fillId="0" borderId="0"/>
    <xf numFmtId="0" fontId="116" fillId="0" borderId="0" applyNumberFormat="0" applyFill="0" applyBorder="0" applyAlignment="0" applyProtection="0">
      <alignment vertical="center"/>
    </xf>
    <xf numFmtId="0" fontId="115" fillId="0" borderId="0" applyNumberFormat="0" applyFill="0" applyBorder="0" applyAlignment="0" applyProtection="0"/>
  </cellStyleXfs>
  <cellXfs count="1247">
    <xf numFmtId="0" fontId="0" fillId="0" borderId="0" xfId="0"/>
    <xf numFmtId="0" fontId="0" fillId="0" borderId="0" xfId="0" applyFont="1" applyBorder="1" applyProtection="1"/>
    <xf numFmtId="0" fontId="1" fillId="2" borderId="1" xfId="0" applyFont="1" applyFill="1" applyBorder="1" applyAlignment="1" applyProtection="1">
      <alignment horizontal="center" vertical="center" wrapText="1"/>
    </xf>
    <xf numFmtId="0" fontId="0" fillId="2" borderId="1" xfId="0" applyFont="1" applyFill="1" applyBorder="1" applyAlignment="1" applyProtection="1">
      <alignment horizontal="center" vertical="center"/>
    </xf>
    <xf numFmtId="0" fontId="0" fillId="2" borderId="1" xfId="0" applyFont="1" applyFill="1" applyBorder="1" applyAlignment="1" applyProtection="1">
      <alignment horizontal="left" vertical="center" wrapText="1"/>
    </xf>
    <xf numFmtId="0" fontId="2" fillId="2" borderId="1" xfId="0" applyFont="1" applyFill="1" applyBorder="1" applyAlignment="1" applyProtection="1">
      <alignment horizontal="center" vertical="center" wrapText="1"/>
    </xf>
    <xf numFmtId="0" fontId="0" fillId="0" borderId="1" xfId="0" applyBorder="1" applyProtection="1"/>
    <xf numFmtId="0" fontId="0" fillId="3" borderId="1" xfId="0" applyFont="1" applyFill="1" applyBorder="1" applyProtection="1"/>
    <xf numFmtId="0" fontId="0" fillId="2" borderId="1" xfId="0" applyFont="1" applyFill="1" applyBorder="1" applyAlignment="1" applyProtection="1">
      <alignment wrapText="1"/>
    </xf>
    <xf numFmtId="0" fontId="0" fillId="2" borderId="1" xfId="0" applyFont="1" applyFill="1" applyBorder="1" applyProtection="1"/>
    <xf numFmtId="0" fontId="0" fillId="3" borderId="1" xfId="0" applyFont="1" applyFill="1" applyBorder="1" applyAlignment="1" applyProtection="1">
      <alignment horizontal="center" vertical="center" wrapText="1"/>
    </xf>
    <xf numFmtId="0" fontId="0" fillId="0" borderId="1" xfId="0" applyFont="1" applyBorder="1" applyAlignment="1" applyProtection="1">
      <alignment horizontal="center" vertical="center"/>
    </xf>
    <xf numFmtId="0" fontId="0" fillId="3" borderId="1" xfId="0" applyFont="1" applyFill="1" applyBorder="1" applyAlignment="1" applyProtection="1">
      <alignment horizontal="center" vertical="center"/>
    </xf>
    <xf numFmtId="0" fontId="0" fillId="2" borderId="2" xfId="0" applyFont="1" applyFill="1" applyBorder="1" applyAlignment="1" applyProtection="1">
      <alignment wrapText="1"/>
    </xf>
    <xf numFmtId="0" fontId="0" fillId="3" borderId="3" xfId="0" applyFont="1" applyFill="1" applyBorder="1" applyAlignment="1" applyProtection="1">
      <alignment horizontal="center" vertical="center" wrapText="1"/>
    </xf>
    <xf numFmtId="0" fontId="0" fillId="2" borderId="4" xfId="0" applyFont="1" applyFill="1" applyBorder="1" applyProtection="1"/>
    <xf numFmtId="0" fontId="0" fillId="3" borderId="1" xfId="0" applyFont="1" applyFill="1" applyBorder="1" applyAlignment="1" applyProtection="1">
      <alignment horizontal="center"/>
    </xf>
    <xf numFmtId="0" fontId="2" fillId="2" borderId="1" xfId="0" applyFont="1" applyFill="1" applyBorder="1" applyAlignment="1" applyProtection="1">
      <alignment wrapText="1"/>
    </xf>
    <xf numFmtId="0" fontId="3" fillId="2" borderId="1" xfId="0" applyFont="1" applyFill="1" applyBorder="1" applyAlignment="1" applyProtection="1">
      <alignment vertical="center" wrapText="1"/>
    </xf>
    <xf numFmtId="0" fontId="4" fillId="2" borderId="2" xfId="0" applyFont="1" applyFill="1" applyBorder="1" applyAlignment="1" applyProtection="1">
      <alignment horizontal="center" wrapText="1"/>
    </xf>
    <xf numFmtId="0" fontId="4" fillId="2" borderId="3" xfId="0" applyFont="1" applyFill="1" applyBorder="1" applyAlignment="1" applyProtection="1">
      <alignment horizontal="center" wrapText="1"/>
    </xf>
    <xf numFmtId="0" fontId="5" fillId="2" borderId="2" xfId="0" applyFont="1" applyFill="1" applyBorder="1" applyAlignment="1" applyProtection="1">
      <alignment horizontal="center" vertical="center"/>
    </xf>
    <xf numFmtId="0" fontId="5" fillId="2" borderId="5" xfId="0" applyFont="1" applyFill="1" applyBorder="1" applyAlignment="1" applyProtection="1">
      <alignment horizontal="center" vertical="center"/>
    </xf>
    <xf numFmtId="0" fontId="0" fillId="2" borderId="6" xfId="0" applyFont="1" applyFill="1" applyBorder="1" applyAlignment="1" applyProtection="1">
      <alignment vertical="center"/>
    </xf>
    <xf numFmtId="0" fontId="2" fillId="2" borderId="1" xfId="0" applyFont="1" applyFill="1" applyBorder="1" applyAlignment="1" applyProtection="1">
      <alignment vertical="center" wrapText="1"/>
    </xf>
    <xf numFmtId="0" fontId="2" fillId="2" borderId="1" xfId="0" applyFont="1" applyFill="1" applyBorder="1" applyAlignment="1" applyProtection="1">
      <alignment vertical="center"/>
    </xf>
    <xf numFmtId="0" fontId="0" fillId="2" borderId="2" xfId="0" applyFont="1" applyFill="1" applyBorder="1" applyAlignment="1" applyProtection="1">
      <alignment horizontal="center" vertical="center"/>
    </xf>
    <xf numFmtId="0" fontId="0" fillId="2" borderId="4" xfId="0" applyFont="1" applyFill="1" applyBorder="1" applyAlignment="1" applyProtection="1">
      <alignment vertical="center"/>
    </xf>
    <xf numFmtId="0" fontId="0" fillId="0" borderId="1" xfId="0" applyFont="1" applyBorder="1" applyProtection="1"/>
    <xf numFmtId="0" fontId="0" fillId="2" borderId="1" xfId="0" applyFont="1" applyFill="1" applyBorder="1" applyAlignment="1" applyProtection="1">
      <alignment vertical="center" wrapText="1"/>
    </xf>
    <xf numFmtId="0" fontId="0" fillId="2" borderId="1" xfId="0" applyFont="1" applyFill="1" applyBorder="1" applyAlignment="1" applyProtection="1">
      <alignment horizontal="center" vertical="center"/>
      <protection locked="0"/>
    </xf>
    <xf numFmtId="0" fontId="2" fillId="2" borderId="1" xfId="0" applyFont="1" applyFill="1" applyBorder="1" applyAlignment="1" applyProtection="1">
      <alignment horizontal="left" vertical="center" wrapText="1"/>
    </xf>
    <xf numFmtId="0" fontId="0" fillId="2" borderId="1" xfId="0" applyFont="1" applyFill="1" applyBorder="1" applyAlignment="1" applyProtection="1">
      <alignment horizontal="center"/>
    </xf>
    <xf numFmtId="0" fontId="0" fillId="0" borderId="1" xfId="0" applyFont="1" applyBorder="1" applyAlignment="1" applyProtection="1">
      <alignment horizontal="center" vertical="center"/>
      <protection locked="0"/>
    </xf>
    <xf numFmtId="0" fontId="6" fillId="0" borderId="1" xfId="0" applyFont="1" applyBorder="1" applyProtection="1"/>
    <xf numFmtId="0" fontId="7" fillId="0" borderId="0" xfId="54" applyFont="1" applyBorder="1" applyAlignment="1" applyProtection="1">
      <alignment horizontal="left" vertical="justify" wrapText="1"/>
    </xf>
    <xf numFmtId="0" fontId="7" fillId="0" borderId="7" xfId="54" applyFont="1" applyBorder="1" applyAlignment="1" applyProtection="1">
      <alignment horizontal="left" vertical="top" wrapText="1"/>
    </xf>
    <xf numFmtId="0" fontId="7" fillId="0" borderId="0" xfId="54" applyFont="1" applyBorder="1" applyAlignment="1" applyProtection="1">
      <alignment horizontal="left" vertical="top" wrapText="1"/>
    </xf>
    <xf numFmtId="0" fontId="0" fillId="2" borderId="1" xfId="0" applyFont="1" applyFill="1" applyBorder="1" applyAlignment="1" applyProtection="1">
      <alignment horizontal="left" vertical="center"/>
    </xf>
    <xf numFmtId="0" fontId="4" fillId="2" borderId="1" xfId="0" applyFont="1" applyFill="1" applyBorder="1" applyAlignment="1" applyProtection="1">
      <alignment horizontal="center" vertical="center"/>
    </xf>
    <xf numFmtId="0" fontId="4" fillId="2" borderId="2" xfId="0" applyFont="1" applyFill="1" applyBorder="1" applyAlignment="1" applyProtection="1">
      <alignment horizontal="center" vertical="center"/>
    </xf>
    <xf numFmtId="0" fontId="0" fillId="2" borderId="4" xfId="0" applyFont="1" applyFill="1" applyBorder="1" applyAlignment="1" applyProtection="1">
      <alignment wrapText="1"/>
    </xf>
    <xf numFmtId="0" fontId="0" fillId="2" borderId="6" xfId="0" applyFont="1" applyFill="1" applyBorder="1" applyAlignment="1" applyProtection="1">
      <alignment horizontal="center" vertical="center"/>
    </xf>
    <xf numFmtId="0" fontId="0" fillId="2" borderId="4" xfId="0" applyFont="1" applyFill="1" applyBorder="1" applyAlignment="1" applyProtection="1"/>
    <xf numFmtId="0" fontId="0" fillId="2" borderId="4" xfId="0" applyFont="1" applyFill="1" applyBorder="1" applyAlignment="1" applyProtection="1">
      <alignment horizontal="center" vertical="center"/>
    </xf>
    <xf numFmtId="0" fontId="4" fillId="2" borderId="6" xfId="0" applyFont="1" applyFill="1" applyBorder="1" applyAlignment="1" applyProtection="1">
      <alignment horizontal="center" vertical="center"/>
    </xf>
    <xf numFmtId="0" fontId="4" fillId="2" borderId="4" xfId="0" applyFont="1" applyFill="1" applyBorder="1" applyAlignment="1" applyProtection="1">
      <alignment horizontal="center" vertical="center"/>
    </xf>
    <xf numFmtId="0" fontId="0" fillId="0" borderId="0" xfId="0" applyProtection="1"/>
    <xf numFmtId="0" fontId="8" fillId="0" borderId="1" xfId="54" applyFont="1" applyBorder="1" applyAlignment="1" applyProtection="1">
      <alignment horizontal="center" vertical="center"/>
    </xf>
    <xf numFmtId="0" fontId="9" fillId="0" borderId="0" xfId="54" applyFont="1" applyAlignment="1" applyProtection="1">
      <alignment vertical="center"/>
    </xf>
    <xf numFmtId="0" fontId="10" fillId="0" borderId="0" xfId="54" applyProtection="1">
      <alignment vertical="center"/>
    </xf>
    <xf numFmtId="0" fontId="11" fillId="4" borderId="1" xfId="54" applyFont="1" applyFill="1" applyBorder="1" applyProtection="1">
      <alignment vertical="center"/>
    </xf>
    <xf numFmtId="0" fontId="12" fillId="2" borderId="1" xfId="54" applyFont="1" applyFill="1" applyBorder="1" applyProtection="1">
      <alignment vertical="center"/>
    </xf>
    <xf numFmtId="0" fontId="11" fillId="2" borderId="1" xfId="54" applyFont="1" applyFill="1" applyBorder="1" applyAlignment="1" applyProtection="1">
      <alignment horizontal="right" vertical="center"/>
    </xf>
    <xf numFmtId="0" fontId="11" fillId="0" borderId="1" xfId="54" applyFont="1" applyBorder="1" applyProtection="1">
      <alignment vertical="center"/>
      <protection locked="0"/>
    </xf>
    <xf numFmtId="0" fontId="11" fillId="2" borderId="1" xfId="54" applyFont="1" applyFill="1" applyBorder="1" applyProtection="1">
      <alignment vertical="center"/>
    </xf>
    <xf numFmtId="11" fontId="7" fillId="0" borderId="0" xfId="54" applyNumberFormat="1" applyFont="1" applyProtection="1">
      <alignment vertical="center"/>
    </xf>
    <xf numFmtId="181" fontId="13" fillId="5" borderId="1" xfId="54" applyNumberFormat="1" applyFont="1" applyFill="1" applyBorder="1" applyProtection="1">
      <alignment vertical="center"/>
    </xf>
    <xf numFmtId="0" fontId="12" fillId="2" borderId="1" xfId="54" applyFont="1" applyFill="1" applyBorder="1" applyAlignment="1" applyProtection="1">
      <alignment horizontal="left" vertical="center"/>
    </xf>
    <xf numFmtId="181" fontId="11" fillId="0" borderId="1" xfId="54" applyNumberFormat="1" applyFont="1" applyBorder="1" applyProtection="1">
      <alignment vertical="center"/>
      <protection locked="0"/>
    </xf>
    <xf numFmtId="0" fontId="11" fillId="2" borderId="1" xfId="54" applyFont="1" applyFill="1" applyBorder="1" applyAlignment="1" applyProtection="1">
      <alignment horizontal="left" vertical="top" wrapText="1"/>
    </xf>
    <xf numFmtId="180" fontId="13" fillId="2" borderId="1" xfId="54" applyNumberFormat="1" applyFont="1" applyFill="1" applyBorder="1" applyProtection="1">
      <alignment vertical="center"/>
    </xf>
    <xf numFmtId="0" fontId="13" fillId="2" borderId="1" xfId="54" applyFont="1" applyFill="1" applyBorder="1" applyProtection="1">
      <alignment vertical="center"/>
    </xf>
    <xf numFmtId="0" fontId="7" fillId="0" borderId="1" xfId="54" applyFont="1" applyBorder="1" applyAlignment="1" applyProtection="1">
      <alignment horizontal="left" vertical="top" wrapText="1"/>
    </xf>
    <xf numFmtId="0" fontId="7" fillId="0" borderId="7" xfId="54" applyFont="1" applyBorder="1" applyAlignment="1" applyProtection="1">
      <alignment vertical="top" wrapText="1"/>
    </xf>
    <xf numFmtId="0" fontId="7" fillId="0" borderId="0" xfId="54" applyFont="1" applyBorder="1" applyAlignment="1" applyProtection="1">
      <alignment vertical="top" wrapText="1"/>
    </xf>
    <xf numFmtId="182" fontId="7" fillId="0" borderId="0" xfId="54" applyNumberFormat="1" applyFont="1" applyProtection="1">
      <alignment vertical="center"/>
    </xf>
    <xf numFmtId="0" fontId="14" fillId="0" borderId="0" xfId="0" applyFont="1" applyAlignment="1">
      <alignment horizontal="center" vertical="center"/>
    </xf>
    <xf numFmtId="0" fontId="15" fillId="0" borderId="0" xfId="0" applyFont="1" applyAlignment="1">
      <alignment horizontal="center" vertical="center"/>
    </xf>
    <xf numFmtId="0" fontId="16" fillId="0" borderId="0" xfId="0" applyFont="1"/>
    <xf numFmtId="0" fontId="14" fillId="0" borderId="0" xfId="0" applyFont="1" applyAlignment="1" applyProtection="1">
      <alignment horizontal="center" vertical="center"/>
    </xf>
    <xf numFmtId="0" fontId="15" fillId="0" borderId="0" xfId="0" applyFont="1" applyAlignment="1" applyProtection="1">
      <alignment horizontal="center" vertical="center"/>
    </xf>
    <xf numFmtId="0" fontId="17" fillId="0" borderId="1" xfId="0" applyFont="1" applyBorder="1" applyAlignment="1" applyProtection="1">
      <alignment horizontal="center" wrapText="1"/>
    </xf>
    <xf numFmtId="0" fontId="2" fillId="0" borderId="1" xfId="0" applyFont="1" applyBorder="1" applyProtection="1"/>
    <xf numFmtId="0" fontId="16" fillId="0" borderId="1" xfId="0" applyFont="1" applyBorder="1" applyAlignment="1" applyProtection="1">
      <alignment horizontal="center"/>
    </xf>
    <xf numFmtId="0" fontId="18" fillId="0" borderId="1" xfId="0" applyFont="1" applyBorder="1" applyAlignment="1" applyProtection="1">
      <alignment horizontal="left"/>
      <protection locked="0"/>
    </xf>
    <xf numFmtId="183" fontId="16" fillId="6" borderId="1" xfId="0" applyNumberFormat="1" applyFont="1" applyFill="1" applyBorder="1" applyProtection="1"/>
    <xf numFmtId="0" fontId="16" fillId="0" borderId="0" xfId="0" applyFont="1" applyProtection="1"/>
    <xf numFmtId="0" fontId="17" fillId="0" borderId="0" xfId="0" applyFont="1" applyProtection="1"/>
    <xf numFmtId="0" fontId="0" fillId="6" borderId="1" xfId="0" applyFill="1" applyBorder="1" applyProtection="1"/>
    <xf numFmtId="0" fontId="0" fillId="0" borderId="0" xfId="0" applyFont="1" applyAlignment="1" applyProtection="1">
      <alignment horizontal="right"/>
    </xf>
    <xf numFmtId="0" fontId="0" fillId="0" borderId="0" xfId="0" applyFont="1" applyAlignment="1" applyProtection="1"/>
    <xf numFmtId="0" fontId="0" fillId="0" borderId="0" xfId="0" applyFont="1" applyProtection="1"/>
    <xf numFmtId="0" fontId="0" fillId="0" borderId="0" xfId="0" applyFont="1" applyAlignment="1" applyProtection="1">
      <alignment horizontal="center"/>
    </xf>
    <xf numFmtId="0" fontId="14" fillId="0" borderId="0" xfId="0" applyFont="1" applyAlignment="1" applyProtection="1">
      <alignment horizontal="right"/>
    </xf>
    <xf numFmtId="0" fontId="19" fillId="0" borderId="0" xfId="0" applyFont="1" applyAlignment="1" applyProtection="1">
      <alignment horizontal="right"/>
    </xf>
    <xf numFmtId="0" fontId="2" fillId="0" borderId="0" xfId="0" applyFont="1" applyBorder="1" applyAlignment="1" applyProtection="1">
      <alignment horizontal="right"/>
    </xf>
    <xf numFmtId="0" fontId="0" fillId="0" borderId="0" xfId="0" applyFont="1" applyBorder="1" applyAlignment="1" applyProtection="1">
      <alignment horizontal="right"/>
    </xf>
    <xf numFmtId="0" fontId="20" fillId="0" borderId="8" xfId="0" applyFont="1" applyBorder="1" applyAlignment="1" applyProtection="1">
      <alignment horizontal="center"/>
    </xf>
    <xf numFmtId="0" fontId="0" fillId="2" borderId="1" xfId="0" applyFont="1" applyFill="1" applyBorder="1" applyAlignment="1" applyProtection="1"/>
    <xf numFmtId="0" fontId="2" fillId="2" borderId="6" xfId="0" applyFont="1" applyFill="1" applyBorder="1" applyAlignment="1" applyProtection="1">
      <alignment horizontal="left" vertical="center" wrapText="1"/>
    </xf>
    <xf numFmtId="0" fontId="0" fillId="0" borderId="1" xfId="0" applyFont="1" applyBorder="1" applyAlignment="1" applyProtection="1">
      <alignment horizontal="center"/>
      <protection locked="0"/>
    </xf>
    <xf numFmtId="0" fontId="2" fillId="2" borderId="1" xfId="0" applyFont="1" applyFill="1" applyBorder="1" applyProtection="1"/>
    <xf numFmtId="0" fontId="2" fillId="2" borderId="9" xfId="0" applyFont="1" applyFill="1" applyBorder="1" applyAlignment="1" applyProtection="1">
      <alignment horizontal="left" vertical="center" wrapText="1"/>
    </xf>
    <xf numFmtId="0" fontId="0" fillId="3" borderId="1" xfId="0" applyFont="1" applyFill="1" applyBorder="1" applyAlignment="1" applyProtection="1">
      <alignment horizontal="center"/>
      <protection locked="0"/>
    </xf>
    <xf numFmtId="0" fontId="2" fillId="2" borderId="4" xfId="0" applyFont="1" applyFill="1" applyBorder="1" applyAlignment="1" applyProtection="1">
      <alignment horizontal="left" vertical="center" wrapText="1"/>
    </xf>
    <xf numFmtId="0" fontId="16" fillId="3" borderId="1" xfId="0" applyFont="1" applyFill="1" applyBorder="1" applyAlignment="1" applyProtection="1">
      <alignment horizontal="center"/>
      <protection locked="0"/>
    </xf>
    <xf numFmtId="183" fontId="0" fillId="2" borderId="1" xfId="0" applyNumberFormat="1" applyFont="1" applyFill="1" applyBorder="1" applyAlignment="1" applyProtection="1">
      <alignment horizontal="center"/>
    </xf>
    <xf numFmtId="0" fontId="0" fillId="2" borderId="1" xfId="0" applyNumberFormat="1" applyFont="1" applyFill="1" applyBorder="1" applyAlignment="1" applyProtection="1">
      <alignment horizontal="center"/>
    </xf>
    <xf numFmtId="0" fontId="21" fillId="2" borderId="1" xfId="0" applyFont="1" applyFill="1" applyBorder="1" applyProtection="1"/>
    <xf numFmtId="0" fontId="0" fillId="2" borderId="6" xfId="0" applyFont="1" applyFill="1" applyBorder="1" applyAlignment="1" applyProtection="1">
      <alignment horizontal="left" vertical="center" wrapText="1"/>
    </xf>
    <xf numFmtId="0" fontId="0" fillId="2" borderId="9" xfId="0" applyFont="1" applyFill="1" applyBorder="1" applyAlignment="1" applyProtection="1">
      <alignment horizontal="left" vertical="center" wrapText="1"/>
    </xf>
    <xf numFmtId="0" fontId="22" fillId="4" borderId="1" xfId="0" applyFont="1" applyFill="1" applyBorder="1" applyAlignment="1" applyProtection="1">
      <alignment horizontal="center"/>
      <protection locked="0"/>
    </xf>
    <xf numFmtId="0" fontId="23" fillId="2" borderId="1" xfId="0" applyFont="1" applyFill="1" applyBorder="1" applyProtection="1"/>
    <xf numFmtId="183" fontId="16" fillId="2" borderId="1" xfId="0" applyNumberFormat="1" applyFont="1" applyFill="1" applyBorder="1" applyAlignment="1" applyProtection="1">
      <alignment horizontal="center"/>
    </xf>
    <xf numFmtId="0" fontId="0" fillId="3" borderId="1" xfId="0" applyNumberFormat="1" applyFont="1" applyFill="1" applyBorder="1" applyAlignment="1" applyProtection="1">
      <alignment horizontal="center"/>
      <protection locked="0"/>
    </xf>
    <xf numFmtId="0" fontId="2" fillId="0" borderId="0" xfId="0" applyFont="1" applyProtection="1"/>
    <xf numFmtId="0" fontId="0" fillId="3" borderId="1" xfId="0" applyNumberFormat="1" applyFont="1" applyFill="1" applyBorder="1" applyAlignment="1" applyProtection="1">
      <alignment horizontal="center"/>
    </xf>
    <xf numFmtId="183" fontId="4" fillId="3" borderId="1" xfId="0" applyNumberFormat="1" applyFont="1" applyFill="1" applyBorder="1" applyAlignment="1" applyProtection="1">
      <alignment horizontal="center"/>
      <protection locked="0"/>
    </xf>
    <xf numFmtId="183" fontId="0" fillId="0" borderId="1" xfId="0" applyNumberFormat="1" applyFont="1" applyBorder="1" applyAlignment="1" applyProtection="1">
      <alignment horizontal="center"/>
      <protection locked="0"/>
    </xf>
    <xf numFmtId="0" fontId="0" fillId="2" borderId="4" xfId="0" applyFont="1" applyFill="1" applyBorder="1" applyAlignment="1" applyProtection="1">
      <alignment horizontal="left" vertical="center" wrapText="1"/>
    </xf>
    <xf numFmtId="183" fontId="0" fillId="3" borderId="1" xfId="0" applyNumberFormat="1" applyFont="1" applyFill="1" applyBorder="1" applyAlignment="1" applyProtection="1">
      <alignment horizontal="center"/>
      <protection locked="0"/>
    </xf>
    <xf numFmtId="179" fontId="0" fillId="2" borderId="1" xfId="0" applyNumberFormat="1" applyFont="1" applyFill="1" applyBorder="1" applyAlignment="1" applyProtection="1">
      <alignment horizontal="center"/>
    </xf>
    <xf numFmtId="0" fontId="16" fillId="2" borderId="1" xfId="0" applyFont="1" applyFill="1" applyBorder="1" applyProtection="1"/>
    <xf numFmtId="184" fontId="24" fillId="0" borderId="0" xfId="0" applyNumberFormat="1" applyFont="1" applyBorder="1" applyAlignment="1" applyProtection="1">
      <alignment horizontal="center" vertical="center"/>
    </xf>
    <xf numFmtId="0" fontId="0" fillId="0" borderId="0" xfId="0" applyFont="1" applyBorder="1" applyAlignment="1" applyProtection="1">
      <alignment horizontal="center"/>
    </xf>
    <xf numFmtId="185" fontId="22" fillId="2" borderId="1" xfId="0" applyNumberFormat="1" applyFont="1" applyFill="1" applyBorder="1" applyAlignment="1" applyProtection="1">
      <alignment horizontal="center"/>
    </xf>
    <xf numFmtId="0" fontId="22" fillId="2" borderId="1" xfId="0" applyFont="1" applyFill="1" applyBorder="1" applyProtection="1"/>
    <xf numFmtId="0" fontId="22" fillId="3" borderId="1" xfId="0" applyFont="1" applyFill="1" applyBorder="1" applyAlignment="1" applyProtection="1">
      <alignment horizontal="center"/>
      <protection locked="0"/>
    </xf>
    <xf numFmtId="185" fontId="0" fillId="2" borderId="1" xfId="0" applyNumberFormat="1" applyFont="1" applyFill="1" applyBorder="1" applyAlignment="1" applyProtection="1">
      <alignment horizontal="center"/>
    </xf>
    <xf numFmtId="0" fontId="0" fillId="2" borderId="6" xfId="0" applyFont="1" applyFill="1" applyBorder="1" applyAlignment="1" applyProtection="1"/>
    <xf numFmtId="0" fontId="2" fillId="2" borderId="6" xfId="0" applyFont="1" applyFill="1" applyBorder="1" applyAlignment="1" applyProtection="1">
      <alignment vertical="center" wrapText="1"/>
    </xf>
    <xf numFmtId="0" fontId="0" fillId="2" borderId="9" xfId="0" applyFont="1" applyFill="1" applyBorder="1" applyAlignment="1" applyProtection="1">
      <alignment vertical="center" wrapText="1"/>
    </xf>
    <xf numFmtId="0" fontId="25" fillId="2" borderId="1" xfId="0" applyFont="1" applyFill="1" applyBorder="1" applyProtection="1"/>
    <xf numFmtId="0" fontId="14" fillId="0" borderId="0" xfId="0" applyFont="1" applyAlignment="1" applyProtection="1">
      <alignment horizontal="center"/>
    </xf>
    <xf numFmtId="0" fontId="19" fillId="0" borderId="0" xfId="0" applyFont="1" applyAlignment="1" applyProtection="1">
      <alignment horizontal="center"/>
    </xf>
    <xf numFmtId="0" fontId="0" fillId="2" borderId="6" xfId="0" applyFont="1" applyFill="1" applyBorder="1" applyAlignment="1" applyProtection="1">
      <alignment vertical="center" wrapText="1"/>
    </xf>
    <xf numFmtId="0" fontId="22" fillId="2" borderId="1" xfId="0" applyFont="1" applyFill="1" applyBorder="1" applyAlignment="1" applyProtection="1">
      <alignment horizontal="center"/>
    </xf>
    <xf numFmtId="183" fontId="22" fillId="2" borderId="1" xfId="0" applyNumberFormat="1" applyFont="1" applyFill="1" applyBorder="1" applyAlignment="1" applyProtection="1">
      <alignment horizontal="center"/>
    </xf>
    <xf numFmtId="0" fontId="22" fillId="0" borderId="0" xfId="0" applyFont="1" applyProtection="1"/>
    <xf numFmtId="0" fontId="0" fillId="2" borderId="4" xfId="0" applyFont="1" applyFill="1" applyBorder="1" applyAlignment="1" applyProtection="1">
      <alignment vertical="center" wrapText="1"/>
    </xf>
    <xf numFmtId="0" fontId="0" fillId="0" borderId="10" xfId="0" applyFont="1" applyBorder="1" applyAlignment="1" applyProtection="1">
      <alignment horizontal="left" vertical="top" wrapText="1"/>
    </xf>
    <xf numFmtId="0" fontId="0" fillId="0" borderId="11" xfId="0" applyFont="1" applyBorder="1" applyAlignment="1" applyProtection="1">
      <alignment horizontal="left" vertical="top" wrapText="1"/>
    </xf>
    <xf numFmtId="0" fontId="0" fillId="0" borderId="12" xfId="0" applyFont="1" applyBorder="1" applyAlignment="1" applyProtection="1">
      <alignment horizontal="left" vertical="top" wrapText="1"/>
    </xf>
    <xf numFmtId="0" fontId="0" fillId="0" borderId="7" xfId="0" applyFont="1" applyBorder="1" applyAlignment="1" applyProtection="1">
      <alignment horizontal="left" vertical="top" wrapText="1"/>
    </xf>
    <xf numFmtId="0" fontId="0" fillId="0" borderId="0" xfId="0" applyFont="1" applyBorder="1" applyAlignment="1" applyProtection="1">
      <alignment horizontal="left" vertical="top" wrapText="1"/>
    </xf>
    <xf numFmtId="0" fontId="0" fillId="0" borderId="13" xfId="0" applyFont="1" applyBorder="1" applyAlignment="1" applyProtection="1">
      <alignment horizontal="left" vertical="top" wrapText="1"/>
    </xf>
    <xf numFmtId="0" fontId="0" fillId="0" borderId="0" xfId="0" applyFont="1" applyBorder="1" applyAlignment="1" applyProtection="1">
      <alignment vertical="top" wrapText="1"/>
    </xf>
    <xf numFmtId="0" fontId="0" fillId="0" borderId="13" xfId="0" applyFont="1" applyBorder="1" applyAlignment="1" applyProtection="1">
      <alignment vertical="top" wrapText="1"/>
    </xf>
    <xf numFmtId="0" fontId="0" fillId="0" borderId="7" xfId="0" applyFont="1" applyBorder="1" applyAlignment="1" applyProtection="1">
      <alignment vertical="top" wrapText="1"/>
    </xf>
    <xf numFmtId="0" fontId="0" fillId="0" borderId="14" xfId="0" applyFont="1" applyBorder="1" applyAlignment="1" applyProtection="1">
      <alignment vertical="top" wrapText="1"/>
    </xf>
    <xf numFmtId="0" fontId="0" fillId="0" borderId="8" xfId="0" applyFont="1" applyBorder="1" applyAlignment="1" applyProtection="1">
      <alignment vertical="top" wrapText="1"/>
    </xf>
    <xf numFmtId="0" fontId="0" fillId="0" borderId="15" xfId="0" applyFont="1" applyBorder="1" applyAlignment="1" applyProtection="1">
      <alignment vertical="top" wrapText="1"/>
    </xf>
    <xf numFmtId="0" fontId="26" fillId="0" borderId="1" xfId="0" applyFont="1" applyBorder="1" applyAlignment="1" applyProtection="1">
      <alignment horizontal="left" vertical="top" wrapText="1"/>
    </xf>
    <xf numFmtId="0" fontId="26" fillId="0" borderId="7" xfId="0" applyFont="1" applyBorder="1" applyAlignment="1" applyProtection="1">
      <alignment vertical="top" wrapText="1"/>
    </xf>
    <xf numFmtId="0" fontId="26" fillId="0" borderId="0" xfId="0" applyFont="1" applyBorder="1" applyAlignment="1" applyProtection="1">
      <alignment vertical="top" wrapText="1"/>
    </xf>
    <xf numFmtId="0" fontId="2" fillId="0" borderId="0" xfId="0" applyFont="1" applyBorder="1" applyProtection="1"/>
    <xf numFmtId="0" fontId="0" fillId="0" borderId="9" xfId="0" applyBorder="1"/>
    <xf numFmtId="0" fontId="0" fillId="0" borderId="4" xfId="0" applyBorder="1"/>
    <xf numFmtId="0" fontId="27" fillId="2" borderId="1" xfId="0" applyFont="1" applyFill="1" applyBorder="1" applyProtection="1"/>
    <xf numFmtId="0" fontId="2" fillId="0" borderId="1" xfId="0" applyFont="1" applyBorder="1" applyAlignment="1" applyProtection="1">
      <alignment horizontal="center"/>
      <protection locked="0"/>
    </xf>
    <xf numFmtId="0" fontId="0" fillId="4" borderId="1" xfId="0" applyFont="1" applyFill="1" applyBorder="1" applyAlignment="1" applyProtection="1">
      <alignment horizontal="center"/>
      <protection locked="0"/>
    </xf>
    <xf numFmtId="0" fontId="16" fillId="2" borderId="1" xfId="0" applyFont="1" applyFill="1" applyBorder="1" applyAlignment="1" applyProtection="1">
      <alignment horizontal="center"/>
    </xf>
    <xf numFmtId="0" fontId="0" fillId="2" borderId="0" xfId="0" applyFont="1" applyFill="1" applyProtection="1"/>
    <xf numFmtId="0" fontId="28" fillId="2" borderId="6" xfId="0" applyFont="1" applyFill="1" applyBorder="1" applyAlignment="1" applyProtection="1">
      <alignment vertical="center" wrapText="1"/>
    </xf>
    <xf numFmtId="0" fontId="17" fillId="2" borderId="1" xfId="0" applyFont="1" applyFill="1" applyBorder="1" applyProtection="1"/>
    <xf numFmtId="183" fontId="29" fillId="3" borderId="1" xfId="0" applyNumberFormat="1" applyFont="1" applyFill="1" applyBorder="1" applyAlignment="1" applyProtection="1">
      <alignment horizontal="center"/>
      <protection locked="0"/>
    </xf>
    <xf numFmtId="0" fontId="4" fillId="2" borderId="4" xfId="0" applyFont="1" applyFill="1" applyBorder="1" applyProtection="1"/>
    <xf numFmtId="0" fontId="4" fillId="7" borderId="1" xfId="0" applyFont="1" applyFill="1" applyBorder="1" applyAlignment="1" applyProtection="1">
      <alignment horizontal="center"/>
    </xf>
    <xf numFmtId="0" fontId="22" fillId="0" borderId="1" xfId="0" applyFont="1" applyBorder="1" applyAlignment="1" applyProtection="1">
      <alignment horizontal="center"/>
      <protection locked="0"/>
    </xf>
    <xf numFmtId="0" fontId="4" fillId="4" borderId="1" xfId="0" applyFont="1" applyFill="1" applyBorder="1" applyAlignment="1" applyProtection="1">
      <alignment horizontal="center"/>
      <protection locked="0"/>
    </xf>
    <xf numFmtId="0" fontId="4" fillId="2" borderId="1" xfId="0" applyFont="1" applyFill="1" applyBorder="1" applyProtection="1"/>
    <xf numFmtId="0" fontId="30" fillId="2" borderId="6" xfId="0" applyFont="1" applyFill="1" applyBorder="1" applyAlignment="1" applyProtection="1">
      <alignment vertical="center" wrapText="1"/>
    </xf>
    <xf numFmtId="0" fontId="31" fillId="2" borderId="1" xfId="0" applyFont="1" applyFill="1" applyBorder="1" applyProtection="1"/>
    <xf numFmtId="0" fontId="32" fillId="0" borderId="1" xfId="0" applyFont="1" applyBorder="1" applyAlignment="1" applyProtection="1">
      <alignment horizontal="center"/>
      <protection locked="0"/>
    </xf>
    <xf numFmtId="0" fontId="32" fillId="2" borderId="1" xfId="0" applyFont="1" applyFill="1" applyBorder="1" applyProtection="1"/>
    <xf numFmtId="0" fontId="30" fillId="2" borderId="9" xfId="0" applyFont="1" applyFill="1" applyBorder="1" applyAlignment="1" applyProtection="1">
      <alignment vertical="center" wrapText="1"/>
    </xf>
    <xf numFmtId="183" fontId="31" fillId="2" borderId="1" xfId="0" applyNumberFormat="1" applyFont="1" applyFill="1" applyBorder="1" applyAlignment="1" applyProtection="1">
      <alignment horizontal="center"/>
    </xf>
    <xf numFmtId="0" fontId="0" fillId="2" borderId="3" xfId="0" applyFont="1" applyFill="1" applyBorder="1" applyProtection="1"/>
    <xf numFmtId="0" fontId="0" fillId="2" borderId="6" xfId="0" applyFont="1" applyFill="1" applyBorder="1" applyProtection="1"/>
    <xf numFmtId="183" fontId="0" fillId="3" borderId="2" xfId="0" applyNumberFormat="1" applyFont="1" applyFill="1" applyBorder="1" applyAlignment="1" applyProtection="1">
      <alignment horizontal="center"/>
      <protection locked="0"/>
    </xf>
    <xf numFmtId="183" fontId="0" fillId="2" borderId="2" xfId="0" applyNumberFormat="1" applyFont="1" applyFill="1" applyBorder="1" applyAlignment="1" applyProtection="1">
      <alignment horizontal="center"/>
    </xf>
    <xf numFmtId="0" fontId="0" fillId="2" borderId="1" xfId="0" applyFont="1" applyFill="1" applyBorder="1" applyAlignment="1" applyProtection="1">
      <alignment horizontal="left" wrapText="1"/>
    </xf>
    <xf numFmtId="0" fontId="31" fillId="0" borderId="1" xfId="0" applyFont="1" applyBorder="1" applyAlignment="1" applyProtection="1">
      <alignment horizontal="center"/>
      <protection locked="0"/>
    </xf>
    <xf numFmtId="0" fontId="33" fillId="4" borderId="1" xfId="0" applyFont="1" applyFill="1" applyBorder="1" applyAlignment="1" applyProtection="1">
      <alignment horizontal="center"/>
      <protection locked="0"/>
    </xf>
    <xf numFmtId="0" fontId="30" fillId="2" borderId="4" xfId="0" applyFont="1" applyFill="1" applyBorder="1" applyAlignment="1" applyProtection="1">
      <alignment vertical="center" wrapText="1"/>
    </xf>
    <xf numFmtId="0" fontId="0" fillId="2" borderId="12" xfId="0" applyFont="1" applyFill="1" applyBorder="1" applyAlignment="1" applyProtection="1">
      <alignment horizontal="left" vertical="center" wrapText="1"/>
    </xf>
    <xf numFmtId="0" fontId="22" fillId="3" borderId="1" xfId="0" applyNumberFormat="1" applyFont="1" applyFill="1" applyBorder="1" applyAlignment="1" applyProtection="1">
      <alignment horizontal="center"/>
      <protection locked="0"/>
    </xf>
    <xf numFmtId="0" fontId="0" fillId="2" borderId="13" xfId="0" applyFont="1" applyFill="1" applyBorder="1" applyAlignment="1" applyProtection="1">
      <alignment horizontal="left" vertical="center" wrapText="1"/>
    </xf>
    <xf numFmtId="0" fontId="0" fillId="0" borderId="9" xfId="0" applyFont="1" applyBorder="1" applyAlignment="1" applyProtection="1">
      <alignment horizontal="left" vertical="top" wrapText="1"/>
    </xf>
    <xf numFmtId="0" fontId="2" fillId="0" borderId="0" xfId="0" applyFont="1" applyAlignment="1" applyProtection="1">
      <alignment horizontal="left" wrapText="1"/>
    </xf>
    <xf numFmtId="0" fontId="0" fillId="0" borderId="0" xfId="0" applyFont="1" applyAlignment="1" applyProtection="1">
      <alignment horizontal="left" wrapText="1"/>
    </xf>
    <xf numFmtId="0" fontId="0" fillId="0" borderId="8" xfId="0" applyFont="1" applyBorder="1" applyAlignment="1" applyProtection="1">
      <alignment horizontal="left" wrapText="1"/>
    </xf>
    <xf numFmtId="183" fontId="0" fillId="2" borderId="1" xfId="0" applyNumberFormat="1" applyFont="1" applyFill="1" applyBorder="1" applyAlignment="1" applyProtection="1">
      <alignment horizontal="center" wrapText="1"/>
    </xf>
    <xf numFmtId="0" fontId="0" fillId="2" borderId="15" xfId="0" applyFont="1" applyFill="1" applyBorder="1" applyAlignment="1" applyProtection="1">
      <alignment horizontal="left" vertical="center" wrapText="1"/>
    </xf>
    <xf numFmtId="0" fontId="0" fillId="2" borderId="1" xfId="0" applyFont="1" applyFill="1" applyBorder="1" applyAlignment="1" applyProtection="1">
      <alignment horizontal="center"/>
      <protection locked="0"/>
    </xf>
    <xf numFmtId="0" fontId="4" fillId="0" borderId="1" xfId="0" applyFont="1" applyBorder="1" applyAlignment="1" applyProtection="1">
      <alignment horizontal="center"/>
      <protection locked="0"/>
    </xf>
    <xf numFmtId="0" fontId="34" fillId="2" borderId="1" xfId="0" applyFont="1" applyFill="1" applyBorder="1" applyProtection="1"/>
    <xf numFmtId="0" fontId="18" fillId="4" borderId="1" xfId="0" applyFont="1" applyFill="1" applyBorder="1" applyAlignment="1" applyProtection="1">
      <alignment horizontal="center"/>
      <protection locked="0"/>
    </xf>
    <xf numFmtId="0" fontId="30" fillId="2" borderId="1" xfId="0" applyFont="1" applyFill="1" applyBorder="1" applyAlignment="1" applyProtection="1">
      <alignment vertical="center" wrapText="1"/>
    </xf>
    <xf numFmtId="0" fontId="22" fillId="3" borderId="1" xfId="0" applyNumberFormat="1" applyFont="1" applyFill="1" applyBorder="1" applyAlignment="1" applyProtection="1">
      <alignment horizontal="center"/>
    </xf>
    <xf numFmtId="0" fontId="35" fillId="2" borderId="1" xfId="0" applyFont="1" applyFill="1" applyBorder="1" applyProtection="1"/>
    <xf numFmtId="183" fontId="0" fillId="4" borderId="1" xfId="0" applyNumberFormat="1" applyFont="1" applyFill="1" applyBorder="1" applyAlignment="1" applyProtection="1">
      <alignment horizontal="center"/>
    </xf>
    <xf numFmtId="0" fontId="0" fillId="2" borderId="1" xfId="0" applyFont="1" applyFill="1" applyBorder="1" applyAlignment="1" applyProtection="1">
      <alignment horizontal="left"/>
    </xf>
    <xf numFmtId="183" fontId="0" fillId="2" borderId="1" xfId="0" applyNumberFormat="1" applyFont="1" applyFill="1" applyBorder="1" applyAlignment="1" applyProtection="1">
      <alignment horizontal="center"/>
      <protection locked="0"/>
    </xf>
    <xf numFmtId="0" fontId="0" fillId="2" borderId="6" xfId="0" applyFont="1" applyFill="1" applyBorder="1" applyAlignment="1" applyProtection="1">
      <alignment horizontal="left" wrapText="1"/>
    </xf>
    <xf numFmtId="0" fontId="0" fillId="2" borderId="9" xfId="0" applyFont="1" applyFill="1" applyBorder="1" applyAlignment="1" applyProtection="1">
      <alignment horizontal="left" wrapText="1"/>
    </xf>
    <xf numFmtId="183" fontId="16" fillId="2" borderId="0" xfId="0" applyNumberFormat="1" applyFont="1" applyFill="1" applyAlignment="1" applyProtection="1">
      <alignment horizontal="center"/>
    </xf>
    <xf numFmtId="0" fontId="0" fillId="0" borderId="1" xfId="0" applyFont="1" applyBorder="1" applyAlignment="1" applyProtection="1">
      <alignment horizontal="left" vertical="justify" wrapText="1"/>
    </xf>
    <xf numFmtId="0" fontId="2" fillId="2" borderId="4" xfId="0" applyFont="1" applyFill="1" applyBorder="1" applyAlignment="1" applyProtection="1">
      <alignment wrapText="1"/>
    </xf>
    <xf numFmtId="0" fontId="0" fillId="2" borderId="6" xfId="0" applyFont="1" applyFill="1" applyBorder="1" applyAlignment="1" applyProtection="1">
      <alignment horizontal="left" vertical="center"/>
    </xf>
    <xf numFmtId="0" fontId="0" fillId="2" borderId="4" xfId="0" applyFont="1" applyFill="1" applyBorder="1" applyAlignment="1" applyProtection="1">
      <alignment horizontal="left" vertical="center"/>
    </xf>
    <xf numFmtId="0" fontId="2" fillId="2" borderId="4" xfId="0" applyFont="1" applyFill="1" applyBorder="1" applyAlignment="1" applyProtection="1">
      <alignment horizontal="left" vertical="center"/>
    </xf>
    <xf numFmtId="0" fontId="0" fillId="0" borderId="1" xfId="0" applyFont="1" applyFill="1" applyBorder="1" applyAlignment="1" applyProtection="1">
      <alignment horizontal="center"/>
      <protection locked="0"/>
    </xf>
    <xf numFmtId="0" fontId="16" fillId="0" borderId="1" xfId="0" applyFont="1" applyFill="1" applyBorder="1" applyAlignment="1" applyProtection="1">
      <alignment horizontal="center"/>
      <protection locked="0"/>
    </xf>
    <xf numFmtId="0" fontId="16" fillId="2" borderId="1" xfId="0" applyFont="1" applyFill="1" applyBorder="1" applyAlignment="1" applyProtection="1">
      <alignment horizontal="center"/>
      <protection locked="0"/>
    </xf>
    <xf numFmtId="0" fontId="4" fillId="2" borderId="1" xfId="0" applyFont="1" applyFill="1" applyBorder="1" applyAlignment="1" applyProtection="1">
      <alignment horizontal="center"/>
      <protection locked="0"/>
    </xf>
    <xf numFmtId="0" fontId="4" fillId="2" borderId="2" xfId="0" applyFont="1" applyFill="1" applyBorder="1" applyAlignment="1" applyProtection="1">
      <alignment horizontal="left"/>
    </xf>
    <xf numFmtId="0" fontId="4" fillId="2" borderId="3" xfId="0" applyFont="1" applyFill="1" applyBorder="1" applyAlignment="1" applyProtection="1">
      <alignment horizontal="left"/>
    </xf>
    <xf numFmtId="0" fontId="0" fillId="0" borderId="0" xfId="0" applyFont="1" applyAlignment="1" applyProtection="1">
      <alignment horizontal="left"/>
    </xf>
    <xf numFmtId="0" fontId="16" fillId="0" borderId="1" xfId="0" applyFont="1" applyBorder="1" applyAlignment="1" applyProtection="1">
      <alignment horizontal="center"/>
      <protection locked="0"/>
    </xf>
    <xf numFmtId="0" fontId="36" fillId="0" borderId="1" xfId="53" applyBorder="1" applyAlignment="1">
      <alignment horizontal="center" vertical="center"/>
    </xf>
    <xf numFmtId="0" fontId="2" fillId="2" borderId="1" xfId="0" applyFont="1" applyFill="1" applyBorder="1" applyAlignment="1" applyProtection="1">
      <alignment horizontal="left"/>
    </xf>
    <xf numFmtId="0" fontId="0" fillId="2" borderId="1" xfId="0" applyFont="1" applyFill="1" applyBorder="1" applyAlignment="1" applyProtection="1">
      <alignment vertical="center"/>
    </xf>
    <xf numFmtId="0" fontId="4" fillId="2" borderId="6" xfId="0" applyFont="1" applyFill="1" applyBorder="1" applyAlignment="1" applyProtection="1">
      <alignment horizontal="center"/>
      <protection locked="0"/>
    </xf>
    <xf numFmtId="0" fontId="4" fillId="2" borderId="10" xfId="0" applyFont="1" applyFill="1" applyBorder="1" applyAlignment="1" applyProtection="1">
      <alignment horizontal="left"/>
    </xf>
    <xf numFmtId="0" fontId="4" fillId="2" borderId="12" xfId="0" applyFont="1" applyFill="1" applyBorder="1" applyAlignment="1" applyProtection="1">
      <alignment horizontal="left"/>
    </xf>
    <xf numFmtId="0" fontId="22" fillId="2" borderId="6" xfId="0" applyNumberFormat="1" applyFont="1" applyFill="1" applyBorder="1" applyAlignment="1" applyProtection="1">
      <alignment horizontal="center"/>
    </xf>
    <xf numFmtId="0" fontId="2" fillId="2" borderId="6" xfId="0" applyFont="1" applyFill="1" applyBorder="1" applyProtection="1"/>
    <xf numFmtId="0" fontId="37" fillId="2" borderId="1" xfId="53" applyFont="1" applyFill="1" applyBorder="1" applyAlignment="1">
      <alignment horizontal="left" vertical="center"/>
    </xf>
    <xf numFmtId="183" fontId="37" fillId="2" borderId="1" xfId="53" applyNumberFormat="1" applyFont="1" applyFill="1" applyBorder="1" applyAlignment="1">
      <alignment horizontal="center" vertical="center"/>
    </xf>
    <xf numFmtId="0" fontId="37" fillId="2" borderId="1" xfId="53" applyFont="1" applyFill="1" applyBorder="1" applyAlignment="1">
      <alignment horizontal="center" vertical="center"/>
    </xf>
    <xf numFmtId="0" fontId="0" fillId="0" borderId="0" xfId="0" applyFont="1" applyFill="1" applyBorder="1" applyProtection="1"/>
    <xf numFmtId="0" fontId="0" fillId="2" borderId="4" xfId="0" applyFont="1" applyFill="1" applyBorder="1" applyAlignment="1" applyProtection="1">
      <alignment horizontal="left"/>
    </xf>
    <xf numFmtId="183" fontId="22" fillId="2" borderId="4" xfId="0" applyNumberFormat="1" applyFont="1" applyFill="1" applyBorder="1" applyAlignment="1" applyProtection="1">
      <alignment horizontal="center"/>
    </xf>
    <xf numFmtId="0" fontId="0" fillId="2" borderId="9" xfId="0" applyFont="1" applyFill="1" applyBorder="1" applyAlignment="1" applyProtection="1">
      <alignment vertical="center"/>
    </xf>
    <xf numFmtId="183" fontId="22" fillId="3" borderId="1" xfId="0" applyNumberFormat="1" applyFont="1" applyFill="1" applyBorder="1" applyAlignment="1" applyProtection="1">
      <alignment horizontal="center"/>
      <protection locked="0"/>
    </xf>
    <xf numFmtId="11" fontId="22" fillId="2" borderId="1" xfId="0" applyNumberFormat="1" applyFont="1" applyFill="1" applyBorder="1" applyAlignment="1" applyProtection="1">
      <alignment horizontal="center"/>
    </xf>
    <xf numFmtId="0" fontId="4" fillId="2" borderId="1" xfId="0" applyFont="1" applyFill="1" applyBorder="1" applyAlignment="1" applyProtection="1">
      <alignment horizontal="left"/>
    </xf>
    <xf numFmtId="0" fontId="4" fillId="2" borderId="2" xfId="0" applyFont="1" applyFill="1" applyBorder="1" applyAlignment="1" applyProtection="1">
      <alignment horizontal="center"/>
      <protection locked="0"/>
    </xf>
    <xf numFmtId="0" fontId="4" fillId="2" borderId="3" xfId="0" applyFont="1" applyFill="1" applyBorder="1" applyAlignment="1" applyProtection="1">
      <alignment horizontal="center"/>
      <protection locked="0"/>
    </xf>
    <xf numFmtId="0" fontId="0" fillId="0" borderId="10" xfId="0" applyFont="1" applyBorder="1" applyAlignment="1" applyProtection="1">
      <alignment horizontal="left" vertical="justify" wrapText="1"/>
    </xf>
    <xf numFmtId="0" fontId="0" fillId="0" borderId="11" xfId="0" applyFont="1" applyBorder="1" applyAlignment="1" applyProtection="1">
      <alignment horizontal="left" vertical="justify" wrapText="1"/>
    </xf>
    <xf numFmtId="0" fontId="0" fillId="0" borderId="12" xfId="0" applyFont="1" applyBorder="1" applyAlignment="1" applyProtection="1">
      <alignment horizontal="left" vertical="justify" wrapText="1"/>
    </xf>
    <xf numFmtId="0" fontId="0" fillId="0" borderId="7" xfId="0" applyFont="1" applyBorder="1" applyAlignment="1" applyProtection="1">
      <alignment horizontal="left" vertical="justify" wrapText="1"/>
    </xf>
    <xf numFmtId="0" fontId="0" fillId="0" borderId="0" xfId="0" applyFont="1" applyBorder="1" applyAlignment="1" applyProtection="1">
      <alignment horizontal="left" vertical="justify" wrapText="1"/>
    </xf>
    <xf numFmtId="0" fontId="0" fillId="0" borderId="13" xfId="0" applyFont="1" applyBorder="1" applyAlignment="1" applyProtection="1">
      <alignment horizontal="left" vertical="justify" wrapText="1"/>
    </xf>
    <xf numFmtId="0" fontId="0" fillId="0" borderId="14" xfId="0" applyFont="1" applyBorder="1" applyAlignment="1" applyProtection="1">
      <alignment horizontal="left" vertical="justify" wrapText="1"/>
    </xf>
    <xf numFmtId="0" fontId="0" fillId="0" borderId="8" xfId="0" applyFont="1" applyBorder="1" applyAlignment="1" applyProtection="1">
      <alignment horizontal="left" vertical="justify" wrapText="1"/>
    </xf>
    <xf numFmtId="0" fontId="0" fillId="0" borderId="15" xfId="0" applyFont="1" applyBorder="1" applyAlignment="1" applyProtection="1">
      <alignment horizontal="left" vertical="justify" wrapText="1"/>
    </xf>
    <xf numFmtId="0" fontId="26" fillId="0" borderId="10" xfId="0" applyFont="1" applyBorder="1" applyAlignment="1" applyProtection="1">
      <alignment horizontal="left" vertical="top" wrapText="1"/>
    </xf>
    <xf numFmtId="0" fontId="26" fillId="0" borderId="11" xfId="0" applyFont="1" applyBorder="1" applyAlignment="1" applyProtection="1">
      <alignment horizontal="left" vertical="top" wrapText="1"/>
    </xf>
    <xf numFmtId="0" fontId="26" fillId="0" borderId="12" xfId="0" applyFont="1" applyBorder="1" applyAlignment="1" applyProtection="1">
      <alignment horizontal="left" vertical="top" wrapText="1"/>
    </xf>
    <xf numFmtId="0" fontId="26" fillId="0" borderId="7" xfId="0" applyFont="1" applyBorder="1" applyAlignment="1" applyProtection="1">
      <alignment horizontal="left" vertical="top" wrapText="1"/>
    </xf>
    <xf numFmtId="0" fontId="26" fillId="0" borderId="0" xfId="0" applyFont="1" applyBorder="1" applyAlignment="1" applyProtection="1">
      <alignment horizontal="left" vertical="top" wrapText="1"/>
    </xf>
    <xf numFmtId="0" fontId="26" fillId="0" borderId="13" xfId="0" applyFont="1" applyBorder="1" applyAlignment="1" applyProtection="1">
      <alignment horizontal="left" vertical="top" wrapText="1"/>
    </xf>
    <xf numFmtId="0" fontId="26" fillId="0" borderId="14" xfId="0" applyFont="1" applyBorder="1" applyAlignment="1" applyProtection="1">
      <alignment horizontal="left" vertical="top" wrapText="1"/>
    </xf>
    <xf numFmtId="0" fontId="26" fillId="0" borderId="8" xfId="0" applyFont="1" applyBorder="1" applyAlignment="1" applyProtection="1">
      <alignment horizontal="left" vertical="top" wrapText="1"/>
    </xf>
    <xf numFmtId="0" fontId="26" fillId="0" borderId="15" xfId="0" applyFont="1" applyBorder="1" applyAlignment="1" applyProtection="1">
      <alignment horizontal="left" vertical="top" wrapText="1"/>
    </xf>
    <xf numFmtId="0" fontId="38" fillId="0" borderId="0" xfId="0" applyFont="1" applyAlignment="1" applyProtection="1">
      <alignment horizontal="right"/>
    </xf>
    <xf numFmtId="0" fontId="39" fillId="0" borderId="0" xfId="0" applyFont="1" applyAlignment="1" applyProtection="1">
      <alignment horizontal="right"/>
    </xf>
    <xf numFmtId="0" fontId="0" fillId="2" borderId="6" xfId="0" applyFont="1" applyFill="1" applyBorder="1" applyAlignment="1" applyProtection="1">
      <alignment horizontal="center" vertical="center" wrapText="1"/>
    </xf>
    <xf numFmtId="0" fontId="0" fillId="2" borderId="9" xfId="0" applyFont="1" applyFill="1" applyBorder="1" applyAlignment="1" applyProtection="1">
      <alignment horizontal="center" vertical="center" wrapText="1"/>
    </xf>
    <xf numFmtId="0" fontId="0" fillId="0" borderId="1" xfId="0" applyFont="1" applyFill="1" applyBorder="1" applyProtection="1"/>
    <xf numFmtId="0" fontId="40" fillId="2" borderId="1" xfId="0" applyFont="1" applyFill="1" applyBorder="1" applyAlignment="1" applyProtection="1">
      <alignment horizontal="center"/>
    </xf>
    <xf numFmtId="0" fontId="0" fillId="2" borderId="4" xfId="0" applyFont="1" applyFill="1" applyBorder="1" applyAlignment="1" applyProtection="1">
      <alignment horizontal="center" vertical="center" wrapText="1"/>
    </xf>
    <xf numFmtId="183" fontId="41" fillId="2" borderId="1" xfId="0" applyNumberFormat="1" applyFont="1" applyFill="1" applyBorder="1" applyAlignment="1" applyProtection="1">
      <alignment horizontal="center"/>
    </xf>
    <xf numFmtId="0" fontId="42" fillId="2" borderId="6" xfId="0" applyFont="1" applyFill="1" applyBorder="1" applyAlignment="1" applyProtection="1">
      <alignment vertical="center" wrapText="1"/>
    </xf>
    <xf numFmtId="0" fontId="42" fillId="2" borderId="9" xfId="0" applyFont="1" applyFill="1" applyBorder="1" applyAlignment="1" applyProtection="1">
      <alignment vertical="center" wrapText="1"/>
    </xf>
    <xf numFmtId="183" fontId="4" fillId="2" borderId="1" xfId="0" applyNumberFormat="1" applyFont="1" applyFill="1" applyBorder="1" applyAlignment="1" applyProtection="1">
      <alignment horizontal="center"/>
    </xf>
    <xf numFmtId="183" fontId="16" fillId="3" borderId="1" xfId="0" applyNumberFormat="1" applyFont="1" applyFill="1" applyBorder="1" applyAlignment="1" applyProtection="1">
      <alignment horizontal="center"/>
      <protection locked="0"/>
    </xf>
    <xf numFmtId="0" fontId="0" fillId="0" borderId="14" xfId="0" applyFont="1" applyBorder="1" applyAlignment="1" applyProtection="1">
      <alignment horizontal="left" vertical="top" wrapText="1"/>
    </xf>
    <xf numFmtId="0" fontId="0" fillId="0" borderId="8" xfId="0" applyFont="1" applyBorder="1" applyAlignment="1" applyProtection="1">
      <alignment horizontal="left" vertical="top" wrapText="1"/>
    </xf>
    <xf numFmtId="0" fontId="0" fillId="0" borderId="15" xfId="0" applyFont="1" applyBorder="1" applyAlignment="1" applyProtection="1">
      <alignment horizontal="left" vertical="top" wrapText="1"/>
    </xf>
    <xf numFmtId="0" fontId="42" fillId="2" borderId="6" xfId="0" applyFont="1" applyFill="1" applyBorder="1" applyAlignment="1" applyProtection="1">
      <alignment horizontal="left" vertical="center" wrapText="1"/>
    </xf>
    <xf numFmtId="0" fontId="42" fillId="2" borderId="9" xfId="0" applyFont="1" applyFill="1" applyBorder="1" applyAlignment="1" applyProtection="1">
      <alignment horizontal="left" vertical="center" wrapText="1"/>
    </xf>
    <xf numFmtId="0" fontId="42" fillId="2" borderId="4" xfId="0" applyFont="1" applyFill="1" applyBorder="1" applyAlignment="1" applyProtection="1">
      <alignment horizontal="left" vertical="center" wrapText="1"/>
    </xf>
    <xf numFmtId="183" fontId="43" fillId="2" borderId="1" xfId="0" applyNumberFormat="1" applyFont="1" applyFill="1" applyBorder="1" applyAlignment="1" applyProtection="1">
      <alignment horizontal="center"/>
    </xf>
    <xf numFmtId="0" fontId="44" fillId="2" borderId="6" xfId="0" applyFont="1" applyFill="1" applyBorder="1" applyAlignment="1" applyProtection="1">
      <alignment horizontal="left" vertical="center" wrapText="1"/>
    </xf>
    <xf numFmtId="0" fontId="43" fillId="2" borderId="9" xfId="0" applyFont="1" applyFill="1" applyBorder="1" applyAlignment="1" applyProtection="1">
      <alignment horizontal="left" vertical="center" wrapText="1"/>
    </xf>
    <xf numFmtId="0" fontId="43" fillId="2" borderId="4" xfId="0" applyFont="1" applyFill="1" applyBorder="1" applyAlignment="1" applyProtection="1">
      <alignment horizontal="left" vertical="center" wrapText="1"/>
    </xf>
    <xf numFmtId="0" fontId="0" fillId="2" borderId="1" xfId="0" applyFont="1" applyFill="1" applyBorder="1" applyAlignment="1" applyProtection="1">
      <alignment horizontal="center" vertical="center" wrapText="1"/>
    </xf>
    <xf numFmtId="0" fontId="25" fillId="2" borderId="1" xfId="0" applyFont="1" applyFill="1" applyBorder="1" applyAlignment="1" applyProtection="1">
      <alignment horizontal="left" vertical="center"/>
    </xf>
    <xf numFmtId="0" fontId="0" fillId="0" borderId="10" xfId="0" applyFont="1" applyBorder="1" applyAlignment="1" applyProtection="1">
      <alignment horizontal="left" vertical="distributed" wrapText="1"/>
    </xf>
    <xf numFmtId="0" fontId="0" fillId="0" borderId="11" xfId="0" applyFont="1" applyBorder="1" applyAlignment="1" applyProtection="1">
      <alignment horizontal="left" vertical="distributed" wrapText="1"/>
    </xf>
    <xf numFmtId="0" fontId="0" fillId="0" borderId="12" xfId="0" applyFont="1" applyBorder="1" applyAlignment="1" applyProtection="1">
      <alignment horizontal="left" vertical="distributed" wrapText="1"/>
    </xf>
    <xf numFmtId="0" fontId="0" fillId="0" borderId="7" xfId="0" applyFont="1" applyBorder="1" applyAlignment="1" applyProtection="1">
      <alignment horizontal="left" vertical="distributed" wrapText="1"/>
    </xf>
    <xf numFmtId="0" fontId="0" fillId="0" borderId="0" xfId="0" applyFont="1" applyBorder="1" applyAlignment="1" applyProtection="1">
      <alignment horizontal="left" vertical="distributed" wrapText="1"/>
    </xf>
    <xf numFmtId="0" fontId="0" fillId="0" borderId="13" xfId="0" applyFont="1" applyBorder="1" applyAlignment="1" applyProtection="1">
      <alignment horizontal="left" vertical="distributed" wrapText="1"/>
    </xf>
    <xf numFmtId="0" fontId="2" fillId="2" borderId="6" xfId="0" applyFont="1" applyFill="1" applyBorder="1" applyAlignment="1" applyProtection="1">
      <alignment vertical="center"/>
    </xf>
    <xf numFmtId="0" fontId="2" fillId="2" borderId="6" xfId="0" applyFont="1" applyFill="1" applyBorder="1" applyAlignment="1" applyProtection="1">
      <alignment horizontal="center" vertical="center" wrapText="1"/>
    </xf>
    <xf numFmtId="0" fontId="0" fillId="2" borderId="1" xfId="0" applyFont="1" applyFill="1" applyBorder="1" applyAlignment="1" applyProtection="1">
      <alignment horizontal="center" wrapText="1"/>
    </xf>
    <xf numFmtId="0" fontId="45" fillId="2" borderId="1" xfId="0" applyFont="1" applyFill="1" applyBorder="1" applyAlignment="1" applyProtection="1">
      <alignment horizontal="center" wrapText="1"/>
    </xf>
    <xf numFmtId="0" fontId="2" fillId="2" borderId="9" xfId="0" applyFont="1" applyFill="1" applyBorder="1" applyAlignment="1" applyProtection="1">
      <alignment vertical="center"/>
    </xf>
    <xf numFmtId="0" fontId="2" fillId="2" borderId="9" xfId="0" applyFont="1" applyFill="1" applyBorder="1" applyAlignment="1" applyProtection="1">
      <alignment horizontal="center" vertical="center" wrapText="1"/>
    </xf>
    <xf numFmtId="0" fontId="2" fillId="2" borderId="4" xfId="0" applyFont="1" applyFill="1" applyBorder="1" applyAlignment="1" applyProtection="1">
      <alignment horizontal="center" vertical="center" wrapText="1"/>
    </xf>
    <xf numFmtId="0" fontId="2" fillId="0" borderId="2" xfId="0" applyFont="1" applyBorder="1" applyAlignment="1" applyProtection="1">
      <alignment horizontal="left" vertical="center" wrapText="1"/>
    </xf>
    <xf numFmtId="0" fontId="2" fillId="0" borderId="5" xfId="0" applyFont="1" applyBorder="1" applyAlignment="1" applyProtection="1">
      <alignment horizontal="left" vertical="center" wrapText="1"/>
    </xf>
    <xf numFmtId="0" fontId="26" fillId="0" borderId="5" xfId="0" applyFont="1" applyBorder="1" applyAlignment="1" applyProtection="1">
      <alignment horizontal="center" vertical="justify" wrapText="1"/>
    </xf>
    <xf numFmtId="0" fontId="26" fillId="0" borderId="11" xfId="0" applyFont="1" applyBorder="1" applyAlignment="1" applyProtection="1">
      <alignment horizontal="left" vertical="justify" wrapText="1"/>
    </xf>
    <xf numFmtId="0" fontId="26" fillId="0" borderId="0" xfId="0" applyFont="1" applyBorder="1" applyAlignment="1" applyProtection="1">
      <alignment horizontal="left" vertical="justify" wrapText="1"/>
    </xf>
    <xf numFmtId="0" fontId="46" fillId="0" borderId="0" xfId="0" applyFont="1" applyAlignment="1" applyProtection="1">
      <alignment horizontal="left" indent="3" readingOrder="1"/>
    </xf>
    <xf numFmtId="0" fontId="26" fillId="0" borderId="0" xfId="0" applyFont="1" applyBorder="1" applyAlignment="1" applyProtection="1">
      <alignment vertical="justify" wrapText="1"/>
    </xf>
    <xf numFmtId="0" fontId="2" fillId="2" borderId="1" xfId="0" applyFont="1" applyFill="1" applyBorder="1" applyAlignment="1" applyProtection="1">
      <alignment horizontal="center"/>
    </xf>
    <xf numFmtId="0" fontId="2" fillId="0" borderId="1" xfId="0" applyFont="1" applyBorder="1" applyAlignment="1" applyProtection="1">
      <alignment horizontal="left" vertical="center" wrapText="1"/>
    </xf>
    <xf numFmtId="0" fontId="0" fillId="0" borderId="1" xfId="0" applyFont="1" applyBorder="1" applyAlignment="1" applyProtection="1">
      <alignment horizontal="center" vertical="justify" wrapText="1"/>
    </xf>
    <xf numFmtId="0" fontId="2" fillId="0" borderId="1" xfId="0" applyFont="1" applyBorder="1" applyAlignment="1" applyProtection="1">
      <alignment horizontal="left" vertical="justify" wrapText="1"/>
    </xf>
    <xf numFmtId="0" fontId="2" fillId="0" borderId="0" xfId="0" applyFont="1" applyBorder="1" applyAlignment="1" applyProtection="1">
      <alignment horizontal="left" vertical="justify" wrapText="1"/>
    </xf>
    <xf numFmtId="0" fontId="0" fillId="0" borderId="0" xfId="0" applyFont="1" applyBorder="1" applyAlignment="1" applyProtection="1">
      <alignment horizontal="center" vertical="justify" wrapText="1"/>
    </xf>
    <xf numFmtId="0" fontId="2" fillId="0" borderId="7" xfId="0" applyFont="1" applyBorder="1" applyAlignment="1" applyProtection="1">
      <alignment horizontal="center" vertical="center" wrapText="1"/>
    </xf>
    <xf numFmtId="0" fontId="0" fillId="0" borderId="0" xfId="0" applyFont="1" applyBorder="1" applyAlignment="1" applyProtection="1"/>
    <xf numFmtId="0" fontId="0" fillId="0" borderId="1" xfId="0" applyFont="1" applyBorder="1" applyAlignment="1" applyProtection="1">
      <alignment horizontal="left" vertical="top" wrapText="1"/>
    </xf>
    <xf numFmtId="0" fontId="2" fillId="2" borderId="1" xfId="0" applyFont="1" applyFill="1" applyBorder="1" applyAlignment="1" applyProtection="1">
      <alignment horizontal="center" wrapText="1"/>
    </xf>
    <xf numFmtId="0" fontId="0" fillId="0" borderId="0" xfId="0" applyFont="1" applyFill="1" applyBorder="1" applyAlignment="1" applyProtection="1"/>
    <xf numFmtId="0" fontId="2" fillId="2" borderId="6" xfId="0" applyFont="1" applyFill="1" applyBorder="1" applyAlignment="1" applyProtection="1">
      <alignment horizontal="center" vertical="center"/>
    </xf>
    <xf numFmtId="0" fontId="2" fillId="2" borderId="1" xfId="0" applyFont="1" applyFill="1" applyBorder="1" applyAlignment="1" applyProtection="1"/>
    <xf numFmtId="0" fontId="0" fillId="2" borderId="2" xfId="0" applyFont="1" applyFill="1" applyBorder="1" applyAlignment="1" applyProtection="1">
      <alignment horizontal="left"/>
    </xf>
    <xf numFmtId="0" fontId="0" fillId="2" borderId="5" xfId="0" applyFont="1" applyFill="1" applyBorder="1" applyAlignment="1" applyProtection="1">
      <alignment horizontal="left"/>
    </xf>
    <xf numFmtId="0" fontId="2" fillId="2" borderId="9" xfId="0" applyFont="1" applyFill="1" applyBorder="1" applyAlignment="1" applyProtection="1">
      <alignment horizontal="center" vertical="center"/>
    </xf>
    <xf numFmtId="0" fontId="2" fillId="2" borderId="2" xfId="0" applyFont="1" applyFill="1" applyBorder="1" applyAlignment="1" applyProtection="1">
      <alignment horizontal="center"/>
    </xf>
    <xf numFmtId="0" fontId="2" fillId="2" borderId="5" xfId="0" applyFont="1" applyFill="1" applyBorder="1" applyAlignment="1" applyProtection="1">
      <alignment horizontal="center"/>
    </xf>
    <xf numFmtId="0" fontId="2" fillId="0" borderId="4" xfId="0" applyFont="1" applyBorder="1" applyProtection="1"/>
    <xf numFmtId="0" fontId="2" fillId="0" borderId="2" xfId="0" applyFont="1" applyBorder="1" applyAlignment="1" applyProtection="1">
      <alignment horizontal="left"/>
    </xf>
    <xf numFmtId="0" fontId="2" fillId="0" borderId="5" xfId="0" applyFont="1" applyBorder="1" applyAlignment="1" applyProtection="1">
      <alignment horizontal="left"/>
    </xf>
    <xf numFmtId="0" fontId="2" fillId="0" borderId="6" xfId="0" applyFont="1" applyBorder="1" applyAlignment="1" applyProtection="1">
      <alignment horizontal="left" vertical="center"/>
    </xf>
    <xf numFmtId="0" fontId="0" fillId="0" borderId="2" xfId="0" applyFont="1" applyBorder="1" applyAlignment="1" applyProtection="1">
      <alignment horizontal="left"/>
    </xf>
    <xf numFmtId="0" fontId="0" fillId="0" borderId="5" xfId="0" applyFont="1" applyBorder="1" applyAlignment="1" applyProtection="1">
      <alignment horizontal="left"/>
    </xf>
    <xf numFmtId="0" fontId="2" fillId="0" borderId="9" xfId="0" applyFont="1" applyBorder="1" applyAlignment="1" applyProtection="1">
      <alignment horizontal="left" vertical="center"/>
    </xf>
    <xf numFmtId="0" fontId="2" fillId="2" borderId="4" xfId="0" applyFont="1" applyFill="1" applyBorder="1" applyAlignment="1" applyProtection="1">
      <alignment horizontal="center" vertical="center"/>
    </xf>
    <xf numFmtId="0" fontId="2" fillId="0" borderId="4" xfId="0" applyFont="1" applyBorder="1" applyAlignment="1" applyProtection="1">
      <alignment horizontal="left" vertical="center"/>
    </xf>
    <xf numFmtId="0" fontId="2" fillId="2" borderId="6" xfId="0" applyFont="1" applyFill="1" applyBorder="1" applyAlignment="1" applyProtection="1">
      <alignment horizontal="left" vertical="center"/>
    </xf>
    <xf numFmtId="0" fontId="4" fillId="3" borderId="1" xfId="0" applyNumberFormat="1" applyFont="1" applyFill="1" applyBorder="1" applyAlignment="1" applyProtection="1">
      <alignment horizontal="center"/>
      <protection locked="0"/>
    </xf>
    <xf numFmtId="0" fontId="0" fillId="2" borderId="9" xfId="0" applyFont="1" applyFill="1" applyBorder="1" applyAlignment="1" applyProtection="1">
      <alignment horizontal="left" vertical="center"/>
    </xf>
    <xf numFmtId="0" fontId="26" fillId="0" borderId="3" xfId="0" applyFont="1" applyBorder="1" applyAlignment="1" applyProtection="1">
      <alignment horizontal="center" vertical="justify" wrapText="1"/>
    </xf>
    <xf numFmtId="0" fontId="26" fillId="0" borderId="1" xfId="0" applyFont="1" applyBorder="1" applyAlignment="1" applyProtection="1">
      <alignment horizontal="left" vertical="justify" wrapText="1"/>
    </xf>
    <xf numFmtId="0" fontId="0" fillId="2" borderId="3" xfId="0" applyFont="1" applyFill="1" applyBorder="1" applyAlignment="1" applyProtection="1">
      <alignment horizontal="left"/>
    </xf>
    <xf numFmtId="0" fontId="2" fillId="2" borderId="3" xfId="0" applyFont="1" applyFill="1" applyBorder="1" applyAlignment="1" applyProtection="1">
      <alignment horizontal="center"/>
    </xf>
    <xf numFmtId="0" fontId="2" fillId="0" borderId="3" xfId="0" applyFont="1" applyBorder="1" applyAlignment="1" applyProtection="1">
      <alignment horizontal="left"/>
    </xf>
    <xf numFmtId="0" fontId="0" fillId="0" borderId="3" xfId="0" applyFont="1" applyBorder="1" applyAlignment="1" applyProtection="1">
      <alignment horizontal="left"/>
    </xf>
    <xf numFmtId="0" fontId="2" fillId="2" borderId="9" xfId="0" applyFont="1" applyFill="1" applyBorder="1" applyAlignment="1" applyProtection="1">
      <alignment horizontal="left" vertical="center"/>
    </xf>
    <xf numFmtId="0" fontId="2" fillId="0" borderId="1" xfId="0" applyFont="1" applyBorder="1" applyAlignment="1" applyProtection="1">
      <alignment horizontal="left" vertical="center"/>
    </xf>
    <xf numFmtId="0" fontId="0" fillId="0" borderId="1" xfId="0" applyFont="1" applyBorder="1" applyAlignment="1" applyProtection="1">
      <alignment horizontal="left"/>
    </xf>
    <xf numFmtId="183" fontId="0" fillId="4" borderId="1" xfId="0" applyNumberFormat="1" applyFont="1" applyFill="1" applyBorder="1" applyAlignment="1" applyProtection="1">
      <alignment horizontal="center"/>
      <protection locked="0"/>
    </xf>
    <xf numFmtId="0" fontId="2" fillId="0" borderId="1" xfId="0" applyFont="1" applyBorder="1" applyAlignment="1" applyProtection="1">
      <alignment horizontal="left"/>
    </xf>
    <xf numFmtId="0" fontId="47" fillId="2" borderId="1" xfId="0" applyFont="1" applyFill="1" applyBorder="1" applyProtection="1"/>
    <xf numFmtId="0" fontId="26" fillId="0" borderId="6" xfId="0" applyFont="1" applyBorder="1" applyAlignment="1" applyProtection="1">
      <alignment horizontal="left" vertical="justify" wrapText="1"/>
    </xf>
    <xf numFmtId="0" fontId="26" fillId="0" borderId="1" xfId="0" applyFont="1" applyBorder="1" applyAlignment="1" applyProtection="1">
      <alignment horizontal="center" vertical="justify" wrapText="1"/>
    </xf>
    <xf numFmtId="0" fontId="0" fillId="0" borderId="1" xfId="0" applyFont="1" applyBorder="1" applyAlignment="1" applyProtection="1">
      <alignment horizontal="left" vertical="center" wrapText="1"/>
    </xf>
    <xf numFmtId="0" fontId="2" fillId="0" borderId="1" xfId="0" applyFont="1" applyBorder="1" applyAlignment="1" applyProtection="1">
      <alignment horizontal="center" vertical="center" wrapText="1"/>
    </xf>
    <xf numFmtId="0" fontId="2" fillId="0" borderId="6" xfId="0" applyFont="1" applyBorder="1" applyAlignment="1" applyProtection="1">
      <alignment horizontal="left" vertical="center" wrapText="1"/>
    </xf>
    <xf numFmtId="0" fontId="26" fillId="0" borderId="6" xfId="0" applyFont="1" applyBorder="1" applyAlignment="1" applyProtection="1">
      <alignment horizontal="center" vertical="justify" wrapText="1"/>
    </xf>
    <xf numFmtId="0" fontId="26" fillId="0" borderId="4" xfId="0" applyFont="1" applyBorder="1" applyAlignment="1" applyProtection="1">
      <alignment horizontal="left" vertical="justify" wrapText="1"/>
    </xf>
    <xf numFmtId="0" fontId="0" fillId="0" borderId="0" xfId="0" applyFont="1" applyBorder="1" applyAlignment="1" applyProtection="1">
      <alignment horizontal="left" vertical="center"/>
    </xf>
    <xf numFmtId="0" fontId="48" fillId="0" borderId="1" xfId="0" applyFont="1" applyBorder="1" applyAlignment="1" applyProtection="1">
      <alignment horizontal="center"/>
    </xf>
    <xf numFmtId="0" fontId="2" fillId="0" borderId="1" xfId="0" applyFont="1" applyBorder="1" applyAlignment="1" applyProtection="1">
      <alignment horizontal="center"/>
    </xf>
    <xf numFmtId="0" fontId="0" fillId="0" borderId="0" xfId="0" applyFont="1" applyBorder="1" applyAlignment="1" applyProtection="1">
      <alignment horizontal="left" vertical="top"/>
    </xf>
    <xf numFmtId="0" fontId="2" fillId="2" borderId="1" xfId="0" applyNumberFormat="1" applyFont="1" applyFill="1" applyBorder="1" applyAlignment="1" applyProtection="1">
      <alignment vertical="center"/>
    </xf>
    <xf numFmtId="179" fontId="22" fillId="2" borderId="1" xfId="0" applyNumberFormat="1" applyFont="1" applyFill="1" applyBorder="1" applyAlignment="1" applyProtection="1">
      <alignment horizontal="center"/>
    </xf>
    <xf numFmtId="179" fontId="22" fillId="3" borderId="1" xfId="0" applyNumberFormat="1" applyFont="1" applyFill="1" applyBorder="1" applyAlignment="1" applyProtection="1">
      <alignment horizontal="center"/>
      <protection locked="0"/>
    </xf>
    <xf numFmtId="183" fontId="16" fillId="0" borderId="1" xfId="0" applyNumberFormat="1" applyFont="1" applyBorder="1" applyAlignment="1" applyProtection="1">
      <alignment horizontal="center"/>
      <protection locked="0"/>
    </xf>
    <xf numFmtId="178" fontId="4" fillId="3" borderId="1" xfId="0" applyNumberFormat="1" applyFont="1" applyFill="1" applyBorder="1" applyAlignment="1" applyProtection="1">
      <alignment horizontal="center"/>
      <protection locked="0"/>
    </xf>
    <xf numFmtId="0" fontId="17" fillId="2" borderId="1" xfId="0" applyFont="1" applyFill="1" applyBorder="1" applyAlignment="1" applyProtection="1">
      <alignment vertical="center" wrapText="1"/>
    </xf>
    <xf numFmtId="0" fontId="0" fillId="0" borderId="14" xfId="0" applyFont="1" applyBorder="1" applyAlignment="1" applyProtection="1">
      <alignment horizontal="left" vertical="distributed" wrapText="1"/>
    </xf>
    <xf numFmtId="0" fontId="0" fillId="0" borderId="8" xfId="0" applyFont="1" applyBorder="1" applyAlignment="1" applyProtection="1">
      <alignment horizontal="left" vertical="distributed" wrapText="1"/>
    </xf>
    <xf numFmtId="0" fontId="0" fillId="0" borderId="15" xfId="0" applyFont="1" applyBorder="1" applyAlignment="1" applyProtection="1">
      <alignment horizontal="left" vertical="distributed" wrapText="1"/>
    </xf>
    <xf numFmtId="178" fontId="16" fillId="3" borderId="1" xfId="0" applyNumberFormat="1" applyFont="1" applyFill="1" applyBorder="1" applyAlignment="1" applyProtection="1">
      <alignment horizontal="center"/>
      <protection locked="0"/>
    </xf>
    <xf numFmtId="178" fontId="16" fillId="2" borderId="1" xfId="0" applyNumberFormat="1" applyFont="1" applyFill="1" applyBorder="1" applyAlignment="1" applyProtection="1">
      <alignment horizontal="center"/>
    </xf>
    <xf numFmtId="178" fontId="22" fillId="3" borderId="1" xfId="0" applyNumberFormat="1" applyFont="1" applyFill="1" applyBorder="1" applyAlignment="1" applyProtection="1">
      <alignment horizontal="center"/>
      <protection locked="0"/>
    </xf>
    <xf numFmtId="0" fontId="15" fillId="0" borderId="0" xfId="0" applyFont="1" applyAlignment="1" applyProtection="1">
      <alignment horizontal="center"/>
    </xf>
    <xf numFmtId="0" fontId="0" fillId="2" borderId="12" xfId="0" applyFont="1" applyFill="1" applyBorder="1" applyAlignment="1" applyProtection="1">
      <alignment horizontal="center" vertical="center" wrapText="1"/>
    </xf>
    <xf numFmtId="0" fontId="0" fillId="2" borderId="13" xfId="0" applyFont="1" applyFill="1" applyBorder="1" applyAlignment="1" applyProtection="1">
      <alignment horizontal="center" vertical="center" wrapText="1"/>
    </xf>
    <xf numFmtId="0" fontId="0" fillId="2" borderId="15" xfId="0" applyFont="1" applyFill="1" applyBorder="1" applyAlignment="1" applyProtection="1">
      <alignment horizontal="center" vertical="center" wrapText="1"/>
    </xf>
    <xf numFmtId="0" fontId="0" fillId="0" borderId="0" xfId="0" applyBorder="1" applyAlignment="1" applyProtection="1"/>
    <xf numFmtId="0" fontId="26" fillId="0" borderId="0" xfId="0" applyFont="1" applyFill="1" applyBorder="1" applyProtection="1"/>
    <xf numFmtId="0" fontId="26" fillId="0" borderId="0" xfId="0" applyFont="1" applyBorder="1" applyAlignment="1" applyProtection="1">
      <alignment vertical="center"/>
    </xf>
    <xf numFmtId="0" fontId="4" fillId="2" borderId="5" xfId="0" applyFont="1" applyFill="1" applyBorder="1" applyAlignment="1" applyProtection="1">
      <alignment horizontal="center" vertical="center"/>
    </xf>
    <xf numFmtId="0" fontId="4" fillId="2" borderId="3" xfId="0" applyFont="1" applyFill="1" applyBorder="1" applyAlignment="1" applyProtection="1">
      <alignment horizontal="center" vertical="center"/>
    </xf>
    <xf numFmtId="0" fontId="2" fillId="2" borderId="0" xfId="0" applyFont="1" applyFill="1" applyBorder="1" applyAlignment="1" applyProtection="1">
      <alignment horizontal="center" vertical="center" wrapText="1"/>
    </xf>
    <xf numFmtId="0" fontId="4" fillId="2" borderId="0" xfId="0" applyFont="1" applyFill="1" applyBorder="1" applyAlignment="1" applyProtection="1">
      <alignment horizontal="center" vertical="center"/>
    </xf>
    <xf numFmtId="0" fontId="49" fillId="0" borderId="1" xfId="0" applyFont="1" applyBorder="1" applyAlignment="1" applyProtection="1">
      <alignment horizontal="center" vertical="center" wrapText="1"/>
    </xf>
    <xf numFmtId="0" fontId="49" fillId="0" borderId="1" xfId="0" applyFont="1" applyBorder="1" applyAlignment="1" applyProtection="1">
      <alignment horizontal="center" wrapText="1"/>
    </xf>
    <xf numFmtId="0" fontId="36" fillId="0" borderId="1" xfId="0" applyFont="1" applyBorder="1" applyAlignment="1" applyProtection="1">
      <alignment horizontal="center" wrapText="1"/>
    </xf>
    <xf numFmtId="0" fontId="49" fillId="0" borderId="1" xfId="0" applyFont="1" applyBorder="1" applyAlignment="1" applyProtection="1">
      <alignment horizontal="center" vertical="top" wrapText="1"/>
    </xf>
    <xf numFmtId="0" fontId="2" fillId="0" borderId="0" xfId="0" applyFont="1" applyAlignment="1" applyProtection="1">
      <alignment horizontal="left"/>
    </xf>
    <xf numFmtId="0" fontId="50" fillId="8" borderId="1" xfId="0" applyFont="1" applyFill="1" applyBorder="1" applyAlignment="1" applyProtection="1">
      <alignment horizontal="center"/>
    </xf>
    <xf numFmtId="0" fontId="50" fillId="8" borderId="1" xfId="0" applyFont="1" applyFill="1" applyBorder="1" applyProtection="1"/>
    <xf numFmtId="0" fontId="50" fillId="8" borderId="2" xfId="0" applyFont="1" applyFill="1" applyBorder="1" applyAlignment="1" applyProtection="1">
      <alignment horizontal="center"/>
    </xf>
    <xf numFmtId="0" fontId="51" fillId="8" borderId="1" xfId="0" applyFont="1" applyFill="1" applyBorder="1" applyAlignment="1" applyProtection="1">
      <alignment horizontal="center" vertical="center" wrapText="1"/>
    </xf>
    <xf numFmtId="0" fontId="26" fillId="0" borderId="1" xfId="0" applyFont="1" applyFill="1" applyBorder="1" applyAlignment="1" applyProtection="1">
      <alignment horizontal="left"/>
    </xf>
    <xf numFmtId="0" fontId="26" fillId="0" borderId="1" xfId="0" applyFont="1" applyBorder="1" applyAlignment="1" applyProtection="1">
      <alignment horizontal="left" vertical="center"/>
    </xf>
    <xf numFmtId="0" fontId="51" fillId="8" borderId="9" xfId="0" applyFont="1" applyFill="1" applyBorder="1" applyProtection="1"/>
    <xf numFmtId="0" fontId="26" fillId="2" borderId="1" xfId="0" applyFont="1" applyFill="1" applyBorder="1" applyAlignment="1" applyProtection="1">
      <alignment horizontal="left"/>
    </xf>
    <xf numFmtId="0" fontId="26" fillId="2" borderId="1" xfId="0" applyFont="1" applyFill="1" applyBorder="1" applyAlignment="1" applyProtection="1">
      <alignment horizontal="left" vertical="center"/>
    </xf>
    <xf numFmtId="0" fontId="51" fillId="8" borderId="4" xfId="0" applyFont="1" applyFill="1" applyBorder="1" applyProtection="1"/>
    <xf numFmtId="184" fontId="22" fillId="3" borderId="1" xfId="0" applyNumberFormat="1" applyFont="1" applyFill="1" applyBorder="1" applyAlignment="1" applyProtection="1">
      <alignment horizontal="center"/>
      <protection locked="0"/>
    </xf>
    <xf numFmtId="185" fontId="4" fillId="2" borderId="1" xfId="0" applyNumberFormat="1" applyFont="1" applyFill="1" applyBorder="1" applyAlignment="1" applyProtection="1">
      <alignment horizontal="center"/>
    </xf>
    <xf numFmtId="183" fontId="16" fillId="4" borderId="1" xfId="0" applyNumberFormat="1" applyFont="1" applyFill="1" applyBorder="1" applyAlignment="1" applyProtection="1">
      <alignment horizontal="center"/>
      <protection locked="0"/>
    </xf>
    <xf numFmtId="183" fontId="4" fillId="2" borderId="2" xfId="0" applyNumberFormat="1" applyFont="1" applyFill="1" applyBorder="1" applyAlignment="1" applyProtection="1">
      <alignment horizontal="center" vertical="center"/>
    </xf>
    <xf numFmtId="183" fontId="4" fillId="2" borderId="3" xfId="0" applyNumberFormat="1" applyFont="1" applyFill="1" applyBorder="1" applyAlignment="1" applyProtection="1">
      <alignment horizontal="center" vertical="center"/>
    </xf>
    <xf numFmtId="0" fontId="40" fillId="2" borderId="6" xfId="0" applyFont="1" applyFill="1" applyBorder="1" applyAlignment="1" applyProtection="1">
      <alignment horizontal="left" vertical="center" wrapText="1"/>
    </xf>
    <xf numFmtId="0" fontId="2" fillId="2" borderId="1" xfId="0" applyFont="1" applyFill="1" applyBorder="1" applyAlignment="1" applyProtection="1">
      <alignment horizontal="left" vertical="center"/>
    </xf>
    <xf numFmtId="0" fontId="4" fillId="2" borderId="1" xfId="0" applyFont="1" applyFill="1" applyBorder="1" applyAlignment="1" applyProtection="1">
      <alignment horizontal="center"/>
    </xf>
    <xf numFmtId="0" fontId="26" fillId="0" borderId="10" xfId="0" applyFont="1" applyBorder="1" applyAlignment="1" applyProtection="1">
      <alignment horizontal="left" vertical="justify" wrapText="1"/>
    </xf>
    <xf numFmtId="0" fontId="26" fillId="0" borderId="12" xfId="0" applyFont="1" applyBorder="1" applyAlignment="1" applyProtection="1">
      <alignment horizontal="left" vertical="justify" wrapText="1"/>
    </xf>
    <xf numFmtId="0" fontId="26" fillId="0" borderId="7" xfId="0" applyFont="1" applyBorder="1" applyAlignment="1" applyProtection="1">
      <alignment horizontal="left" vertical="justify" wrapText="1"/>
    </xf>
    <xf numFmtId="0" fontId="26" fillId="0" borderId="13" xfId="0" applyFont="1" applyBorder="1" applyAlignment="1" applyProtection="1">
      <alignment horizontal="left" vertical="justify" wrapText="1"/>
    </xf>
    <xf numFmtId="0" fontId="51" fillId="8" borderId="6" xfId="0" applyFont="1" applyFill="1" applyBorder="1" applyAlignment="1" applyProtection="1">
      <alignment horizontal="center" vertical="center" wrapText="1"/>
    </xf>
    <xf numFmtId="0" fontId="50" fillId="8" borderId="5" xfId="0" applyFont="1" applyFill="1" applyBorder="1" applyAlignment="1" applyProtection="1">
      <alignment horizontal="center"/>
    </xf>
    <xf numFmtId="0" fontId="50" fillId="8" borderId="3" xfId="0" applyFont="1" applyFill="1" applyBorder="1" applyAlignment="1" applyProtection="1">
      <alignment horizontal="center"/>
    </xf>
    <xf numFmtId="0" fontId="51" fillId="8" borderId="4" xfId="0" applyFont="1" applyFill="1" applyBorder="1" applyAlignment="1" applyProtection="1">
      <alignment horizontal="center" vertical="center" wrapText="1"/>
    </xf>
    <xf numFmtId="184" fontId="25" fillId="0" borderId="0" xfId="0" applyNumberFormat="1" applyFont="1" applyBorder="1" applyAlignment="1" applyProtection="1">
      <alignment horizontal="center" vertical="center"/>
    </xf>
    <xf numFmtId="0" fontId="0" fillId="0" borderId="1" xfId="0" applyFont="1" applyBorder="1" applyAlignment="1" applyProtection="1">
      <alignment horizontal="center"/>
    </xf>
    <xf numFmtId="0" fontId="0" fillId="0" borderId="1" xfId="0" applyFont="1" applyFill="1" applyBorder="1" applyAlignment="1" applyProtection="1">
      <alignment horizontal="center"/>
    </xf>
    <xf numFmtId="0" fontId="2" fillId="5" borderId="1" xfId="0" applyFont="1" applyFill="1" applyBorder="1" applyProtection="1"/>
    <xf numFmtId="0" fontId="2" fillId="5" borderId="6" xfId="0" applyFont="1" applyFill="1" applyBorder="1" applyAlignment="1" applyProtection="1">
      <alignment horizontal="center" vertical="center"/>
    </xf>
    <xf numFmtId="0" fontId="0" fillId="5" borderId="1" xfId="0" applyFont="1" applyFill="1" applyBorder="1" applyAlignment="1" applyProtection="1">
      <alignment horizontal="center" vertical="center" wrapText="1"/>
    </xf>
    <xf numFmtId="0" fontId="26" fillId="0" borderId="1" xfId="0" applyFont="1" applyBorder="1" applyProtection="1"/>
    <xf numFmtId="0" fontId="2" fillId="5" borderId="9" xfId="0" applyFont="1" applyFill="1" applyBorder="1" applyAlignment="1" applyProtection="1">
      <alignment horizontal="center" vertical="center"/>
    </xf>
    <xf numFmtId="0" fontId="26" fillId="0" borderId="1" xfId="0" applyFont="1" applyFill="1" applyBorder="1" applyProtection="1"/>
    <xf numFmtId="0" fontId="0" fillId="5" borderId="6" xfId="0" applyFont="1" applyFill="1" applyBorder="1" applyAlignment="1" applyProtection="1">
      <alignment horizontal="center" vertical="center" wrapText="1"/>
    </xf>
    <xf numFmtId="0" fontId="0" fillId="5" borderId="9" xfId="0" applyFont="1" applyFill="1" applyBorder="1" applyAlignment="1" applyProtection="1">
      <alignment horizontal="center" vertical="center" wrapText="1"/>
    </xf>
    <xf numFmtId="0" fontId="2" fillId="5" borderId="4" xfId="0" applyFont="1" applyFill="1" applyBorder="1" applyAlignment="1" applyProtection="1">
      <alignment horizontal="center" vertical="center"/>
    </xf>
    <xf numFmtId="0" fontId="0" fillId="5" borderId="4" xfId="0" applyFont="1" applyFill="1" applyBorder="1" applyAlignment="1" applyProtection="1">
      <alignment horizontal="center" vertical="center" wrapText="1"/>
    </xf>
    <xf numFmtId="0" fontId="2" fillId="5" borderId="1" xfId="0" applyFont="1" applyFill="1" applyBorder="1" applyAlignment="1" applyProtection="1">
      <alignment horizontal="center" vertical="center"/>
    </xf>
    <xf numFmtId="0" fontId="26" fillId="0" borderId="14" xfId="0" applyFont="1" applyBorder="1" applyAlignment="1" applyProtection="1">
      <alignment horizontal="left" vertical="justify" wrapText="1"/>
    </xf>
    <xf numFmtId="0" fontId="26" fillId="0" borderId="8" xfId="0" applyFont="1" applyBorder="1" applyAlignment="1" applyProtection="1">
      <alignment horizontal="left" vertical="justify" wrapText="1"/>
    </xf>
    <xf numFmtId="0" fontId="26" fillId="0" borderId="15" xfId="0" applyFont="1" applyBorder="1" applyAlignment="1" applyProtection="1">
      <alignment horizontal="left" vertical="justify" wrapText="1"/>
    </xf>
    <xf numFmtId="0" fontId="2" fillId="5" borderId="2" xfId="0" applyFont="1" applyFill="1" applyBorder="1" applyAlignment="1" applyProtection="1">
      <alignment horizontal="center"/>
    </xf>
    <xf numFmtId="0" fontId="2" fillId="5" borderId="5" xfId="0" applyFont="1" applyFill="1" applyBorder="1" applyAlignment="1" applyProtection="1">
      <alignment horizontal="center"/>
    </xf>
    <xf numFmtId="0" fontId="2" fillId="5" borderId="3" xfId="0" applyFont="1" applyFill="1" applyBorder="1" applyAlignment="1" applyProtection="1">
      <alignment horizontal="center"/>
    </xf>
    <xf numFmtId="0" fontId="26" fillId="0" borderId="2" xfId="0" applyFont="1" applyBorder="1" applyAlignment="1" applyProtection="1">
      <alignment horizontal="left" vertical="center"/>
    </xf>
    <xf numFmtId="0" fontId="2" fillId="0" borderId="7" xfId="0" applyFont="1" applyBorder="1" applyAlignment="1" applyProtection="1"/>
    <xf numFmtId="0" fontId="2" fillId="0" borderId="0" xfId="0" applyFont="1" applyBorder="1" applyAlignment="1" applyProtection="1"/>
    <xf numFmtId="0" fontId="2" fillId="0" borderId="7" xfId="0" applyFont="1" applyBorder="1" applyProtection="1"/>
    <xf numFmtId="0" fontId="2" fillId="0" borderId="0" xfId="0" applyFont="1" applyAlignment="1" applyProtection="1">
      <alignment horizontal="right"/>
    </xf>
    <xf numFmtId="183" fontId="2" fillId="4" borderId="1" xfId="0" applyNumberFormat="1" applyFont="1" applyFill="1" applyBorder="1" applyAlignment="1" applyProtection="1">
      <alignment horizontal="center"/>
      <protection locked="0"/>
    </xf>
    <xf numFmtId="183" fontId="4" fillId="2" borderId="2" xfId="0" applyNumberFormat="1" applyFont="1" applyFill="1" applyBorder="1" applyAlignment="1" applyProtection="1">
      <alignment horizontal="center"/>
    </xf>
    <xf numFmtId="183" fontId="4" fillId="2" borderId="3" xfId="0" applyNumberFormat="1" applyFont="1" applyFill="1" applyBorder="1" applyAlignment="1" applyProtection="1">
      <alignment horizontal="center"/>
    </xf>
    <xf numFmtId="0" fontId="0" fillId="2" borderId="6" xfId="0" applyFont="1" applyFill="1" applyBorder="1" applyAlignment="1" applyProtection="1">
      <alignment horizontal="center"/>
    </xf>
    <xf numFmtId="0" fontId="20" fillId="3" borderId="2" xfId="0" applyFont="1" applyFill="1" applyBorder="1" applyAlignment="1" applyProtection="1">
      <alignment horizontal="right"/>
    </xf>
    <xf numFmtId="0" fontId="4" fillId="0" borderId="5" xfId="0" applyFont="1" applyBorder="1" applyAlignment="1" applyProtection="1">
      <alignment horizontal="left"/>
    </xf>
    <xf numFmtId="0" fontId="4" fillId="0" borderId="3" xfId="0" applyFont="1" applyBorder="1" applyAlignment="1" applyProtection="1">
      <alignment horizontal="left"/>
    </xf>
    <xf numFmtId="0" fontId="40" fillId="3" borderId="1" xfId="0" applyFont="1" applyFill="1" applyBorder="1" applyProtection="1"/>
    <xf numFmtId="0" fontId="0" fillId="0" borderId="3" xfId="0" applyFont="1" applyBorder="1" applyProtection="1"/>
    <xf numFmtId="0" fontId="26" fillId="0" borderId="16" xfId="0" applyFont="1" applyBorder="1" applyAlignment="1" applyProtection="1">
      <alignment vertical="justify" wrapText="1"/>
    </xf>
    <xf numFmtId="0" fontId="26" fillId="0" borderId="17" xfId="0" applyFont="1" applyBorder="1" applyAlignment="1" applyProtection="1">
      <alignment vertical="justify" wrapText="1"/>
    </xf>
    <xf numFmtId="0" fontId="0" fillId="2" borderId="9" xfId="0" applyFont="1" applyFill="1" applyBorder="1" applyAlignment="1" applyProtection="1">
      <alignment horizontal="center" vertical="center"/>
    </xf>
    <xf numFmtId="0" fontId="52" fillId="2" borderId="1" xfId="0" applyFont="1" applyFill="1" applyBorder="1" applyProtection="1"/>
    <xf numFmtId="0" fontId="2" fillId="0" borderId="2" xfId="0" applyFont="1" applyFill="1" applyBorder="1" applyAlignment="1" applyProtection="1">
      <alignment horizontal="left" vertical="center"/>
    </xf>
    <xf numFmtId="0" fontId="0" fillId="0" borderId="6" xfId="0" applyFont="1" applyBorder="1" applyProtection="1"/>
    <xf numFmtId="0" fontId="2" fillId="0" borderId="3" xfId="0" applyFont="1" applyBorder="1" applyAlignment="1" applyProtection="1">
      <alignment horizontal="center"/>
    </xf>
    <xf numFmtId="0" fontId="2" fillId="0" borderId="4" xfId="0" applyFont="1" applyBorder="1" applyAlignment="1" applyProtection="1"/>
    <xf numFmtId="0" fontId="2" fillId="0" borderId="1" xfId="0" applyFont="1" applyFill="1" applyBorder="1" applyProtection="1"/>
    <xf numFmtId="0" fontId="4" fillId="3" borderId="1" xfId="0" applyFont="1" applyFill="1" applyBorder="1" applyAlignment="1" applyProtection="1">
      <alignment horizontal="center"/>
      <protection locked="0"/>
    </xf>
    <xf numFmtId="183" fontId="0" fillId="2" borderId="6" xfId="0" applyNumberFormat="1" applyFont="1" applyFill="1" applyBorder="1" applyAlignment="1" applyProtection="1">
      <alignment horizontal="center"/>
    </xf>
    <xf numFmtId="0" fontId="53" fillId="2" borderId="6" xfId="0" applyFont="1" applyFill="1" applyBorder="1" applyProtection="1"/>
    <xf numFmtId="0" fontId="2" fillId="2" borderId="2" xfId="0" applyFont="1" applyFill="1" applyBorder="1" applyProtection="1"/>
    <xf numFmtId="0" fontId="4" fillId="2" borderId="2" xfId="0" applyFont="1" applyFill="1" applyBorder="1" applyAlignment="1" applyProtection="1">
      <alignment horizontal="center"/>
    </xf>
    <xf numFmtId="183" fontId="0" fillId="3" borderId="6" xfId="0" applyNumberFormat="1" applyFont="1" applyFill="1" applyBorder="1" applyAlignment="1" applyProtection="1">
      <alignment horizontal="center"/>
      <protection locked="0"/>
    </xf>
    <xf numFmtId="183" fontId="26" fillId="2" borderId="1" xfId="0" applyNumberFormat="1" applyFont="1" applyFill="1" applyBorder="1" applyAlignment="1" applyProtection="1">
      <alignment horizontal="center"/>
    </xf>
    <xf numFmtId="0" fontId="0" fillId="2" borderId="2" xfId="0" applyFont="1" applyFill="1" applyBorder="1" applyProtection="1"/>
    <xf numFmtId="183" fontId="26" fillId="3" borderId="1" xfId="0" applyNumberFormat="1" applyFont="1" applyFill="1" applyBorder="1" applyAlignment="1" applyProtection="1">
      <alignment horizontal="center"/>
      <protection locked="0"/>
    </xf>
    <xf numFmtId="0" fontId="54" fillId="2" borderId="1" xfId="0" applyFont="1" applyFill="1" applyBorder="1" applyProtection="1"/>
    <xf numFmtId="178" fontId="26" fillId="2" borderId="1" xfId="0" applyNumberFormat="1" applyFont="1" applyFill="1" applyBorder="1" applyAlignment="1" applyProtection="1">
      <alignment horizontal="center"/>
    </xf>
    <xf numFmtId="183" fontId="26" fillId="4" borderId="1" xfId="0" applyNumberFormat="1" applyFont="1" applyFill="1" applyBorder="1" applyAlignment="1" applyProtection="1">
      <alignment horizontal="center"/>
      <protection locked="0"/>
    </xf>
    <xf numFmtId="0" fontId="52" fillId="2" borderId="6" xfId="0" applyFont="1" applyFill="1" applyBorder="1" applyAlignment="1" applyProtection="1">
      <alignment horizontal="center" vertical="center"/>
    </xf>
    <xf numFmtId="0" fontId="52" fillId="2" borderId="9" xfId="0" applyFont="1" applyFill="1" applyBorder="1" applyAlignment="1" applyProtection="1">
      <alignment horizontal="center" vertical="center"/>
    </xf>
    <xf numFmtId="0" fontId="52" fillId="2" borderId="4" xfId="0" applyFont="1" applyFill="1" applyBorder="1" applyAlignment="1" applyProtection="1">
      <alignment horizontal="center" vertical="center"/>
    </xf>
    <xf numFmtId="0" fontId="4" fillId="2" borderId="5" xfId="0" applyFont="1" applyFill="1" applyBorder="1" applyAlignment="1" applyProtection="1">
      <alignment horizontal="center"/>
    </xf>
    <xf numFmtId="0" fontId="4" fillId="2" borderId="3" xfId="0" applyFont="1" applyFill="1" applyBorder="1" applyAlignment="1" applyProtection="1">
      <alignment horizontal="center"/>
    </xf>
    <xf numFmtId="0" fontId="0" fillId="0" borderId="18" xfId="0" applyFont="1" applyBorder="1" applyAlignment="1" applyProtection="1">
      <alignment horizontal="left" vertical="top" wrapText="1"/>
    </xf>
    <xf numFmtId="0" fontId="0" fillId="0" borderId="19" xfId="0" applyFont="1" applyBorder="1" applyAlignment="1" applyProtection="1">
      <alignment horizontal="left" vertical="top" wrapText="1"/>
    </xf>
    <xf numFmtId="0" fontId="0" fillId="0" borderId="20" xfId="0" applyFont="1" applyBorder="1" applyAlignment="1" applyProtection="1">
      <alignment horizontal="left" vertical="top" wrapText="1"/>
    </xf>
    <xf numFmtId="0" fontId="0" fillId="0" borderId="16" xfId="0" applyFont="1" applyBorder="1" applyAlignment="1" applyProtection="1">
      <alignment horizontal="left" vertical="top" wrapText="1"/>
    </xf>
    <xf numFmtId="0" fontId="0" fillId="0" borderId="17" xfId="0" applyFont="1" applyBorder="1" applyAlignment="1" applyProtection="1">
      <alignment horizontal="left" vertical="top" wrapText="1"/>
    </xf>
    <xf numFmtId="0" fontId="0" fillId="0" borderId="21" xfId="0" applyFont="1" applyBorder="1" applyAlignment="1" applyProtection="1">
      <alignment horizontal="left" vertical="top" wrapText="1"/>
    </xf>
    <xf numFmtId="0" fontId="0" fillId="0" borderId="22" xfId="0" applyFont="1" applyBorder="1" applyAlignment="1" applyProtection="1">
      <alignment horizontal="left" vertical="top" wrapText="1"/>
    </xf>
    <xf numFmtId="0" fontId="0" fillId="0" borderId="23" xfId="0" applyFont="1" applyBorder="1" applyAlignment="1" applyProtection="1">
      <alignment horizontal="left" vertical="top" wrapText="1"/>
    </xf>
    <xf numFmtId="0" fontId="0" fillId="0" borderId="0" xfId="0" applyFont="1" applyBorder="1" applyAlignment="1" applyProtection="1">
      <alignment wrapText="1"/>
    </xf>
    <xf numFmtId="0" fontId="2" fillId="5" borderId="0" xfId="0" applyFont="1" applyFill="1" applyProtection="1"/>
    <xf numFmtId="0" fontId="0" fillId="0" borderId="0" xfId="0" applyBorder="1" applyProtection="1"/>
    <xf numFmtId="0" fontId="0" fillId="0" borderId="0" xfId="0" applyAlignment="1">
      <alignment horizontal="center"/>
    </xf>
    <xf numFmtId="0" fontId="14" fillId="0" borderId="0" xfId="0" applyFont="1" applyAlignment="1">
      <alignment horizontal="center"/>
    </xf>
    <xf numFmtId="0" fontId="19" fillId="0" borderId="0" xfId="0" applyFont="1" applyAlignment="1">
      <alignment horizontal="center"/>
    </xf>
    <xf numFmtId="0" fontId="0" fillId="0" borderId="0" xfId="0" applyFont="1"/>
    <xf numFmtId="0" fontId="0" fillId="0" borderId="0" xfId="0" applyFont="1" applyAlignment="1">
      <alignment horizontal="center"/>
    </xf>
    <xf numFmtId="0" fontId="0" fillId="2" borderId="1" xfId="0" applyFont="1" applyFill="1" applyBorder="1"/>
    <xf numFmtId="0" fontId="0" fillId="2" borderId="1" xfId="0" applyFont="1" applyFill="1" applyBorder="1" applyAlignment="1">
      <alignment horizontal="center"/>
    </xf>
    <xf numFmtId="0" fontId="0" fillId="0" borderId="1" xfId="0" applyBorder="1" applyAlignment="1">
      <alignment horizontal="center"/>
    </xf>
    <xf numFmtId="0" fontId="0" fillId="2" borderId="6" xfId="0" applyFont="1" applyFill="1" applyBorder="1" applyAlignment="1">
      <alignment horizontal="center" vertical="center"/>
    </xf>
    <xf numFmtId="0" fontId="2" fillId="0" borderId="0" xfId="0" applyFont="1"/>
    <xf numFmtId="0" fontId="0" fillId="2" borderId="9" xfId="0" applyFont="1" applyFill="1" applyBorder="1" applyAlignment="1">
      <alignment horizontal="center" vertical="center"/>
    </xf>
    <xf numFmtId="0" fontId="0" fillId="2" borderId="4" xfId="0" applyFont="1" applyFill="1" applyBorder="1" applyAlignment="1">
      <alignment horizontal="center" vertical="center"/>
    </xf>
    <xf numFmtId="183" fontId="0" fillId="0" borderId="0" xfId="0" applyNumberFormat="1" applyAlignment="1"/>
    <xf numFmtId="0" fontId="0" fillId="2" borderId="6" xfId="0" applyFont="1" applyFill="1" applyBorder="1" applyAlignment="1">
      <alignment horizontal="left" vertical="center" wrapText="1"/>
    </xf>
    <xf numFmtId="0" fontId="55" fillId="2" borderId="1" xfId="0" applyFont="1" applyFill="1" applyBorder="1"/>
    <xf numFmtId="0" fontId="2" fillId="0" borderId="1" xfId="0" applyFont="1" applyBorder="1" applyAlignment="1">
      <alignment horizontal="left" vertical="center" wrapText="1"/>
    </xf>
    <xf numFmtId="0" fontId="2" fillId="0" borderId="1" xfId="0" applyFont="1" applyBorder="1" applyAlignment="1">
      <alignment horizontal="center"/>
    </xf>
    <xf numFmtId="0" fontId="0" fillId="0" borderId="1" xfId="0" applyBorder="1"/>
    <xf numFmtId="0" fontId="0" fillId="2" borderId="9" xfId="0" applyFont="1" applyFill="1" applyBorder="1" applyAlignment="1">
      <alignment horizontal="left" vertical="center" wrapText="1"/>
    </xf>
    <xf numFmtId="0" fontId="53" fillId="2" borderId="1" xfId="0" applyFont="1" applyFill="1" applyBorder="1"/>
    <xf numFmtId="0" fontId="56" fillId="0" borderId="1" xfId="0" applyFont="1" applyBorder="1" applyAlignment="1">
      <alignment horizontal="center"/>
    </xf>
    <xf numFmtId="0" fontId="0" fillId="2" borderId="4" xfId="0" applyFont="1" applyFill="1" applyBorder="1" applyAlignment="1">
      <alignment horizontal="left" vertical="center" wrapText="1"/>
    </xf>
    <xf numFmtId="0" fontId="2" fillId="0" borderId="1" xfId="0" applyFont="1" applyBorder="1" applyAlignment="1">
      <alignment vertical="center" wrapText="1"/>
    </xf>
    <xf numFmtId="184" fontId="57" fillId="0" borderId="2" xfId="0" applyNumberFormat="1" applyFont="1" applyBorder="1" applyAlignment="1">
      <alignment horizontal="center" vertical="center"/>
    </xf>
    <xf numFmtId="184" fontId="57" fillId="0" borderId="3" xfId="0" applyNumberFormat="1" applyFont="1" applyBorder="1" applyAlignment="1">
      <alignment horizontal="center" vertical="center"/>
    </xf>
    <xf numFmtId="183" fontId="0" fillId="2" borderId="1" xfId="0" applyNumberFormat="1" applyFont="1" applyFill="1" applyBorder="1" applyAlignment="1">
      <alignment horizontal="center"/>
    </xf>
    <xf numFmtId="0" fontId="52" fillId="2" borderId="1" xfId="0" applyFont="1" applyFill="1" applyBorder="1"/>
    <xf numFmtId="0" fontId="22" fillId="2" borderId="1" xfId="0" applyFont="1" applyFill="1" applyBorder="1" applyAlignment="1">
      <alignment horizontal="left"/>
    </xf>
    <xf numFmtId="0" fontId="2" fillId="2" borderId="1" xfId="0" applyFont="1" applyFill="1" applyBorder="1"/>
    <xf numFmtId="183" fontId="4" fillId="4" borderId="1" xfId="0" applyNumberFormat="1" applyFont="1" applyFill="1" applyBorder="1" applyAlignment="1" applyProtection="1">
      <alignment horizontal="center"/>
      <protection locked="0"/>
    </xf>
    <xf numFmtId="0" fontId="26" fillId="2" borderId="1" xfId="0" applyFont="1" applyFill="1" applyBorder="1" applyAlignment="1">
      <alignment horizontal="center"/>
    </xf>
    <xf numFmtId="183" fontId="22" fillId="2" borderId="1" xfId="0" applyNumberFormat="1" applyFont="1" applyFill="1" applyBorder="1" applyAlignment="1">
      <alignment horizontal="center"/>
    </xf>
    <xf numFmtId="0" fontId="22" fillId="2" borderId="6" xfId="0" applyFont="1" applyFill="1" applyBorder="1" applyAlignment="1">
      <alignment horizontal="center" wrapText="1"/>
    </xf>
    <xf numFmtId="0" fontId="22" fillId="2" borderId="4" xfId="0" applyFont="1" applyFill="1" applyBorder="1" applyAlignment="1">
      <alignment horizontal="center"/>
    </xf>
    <xf numFmtId="0" fontId="58" fillId="2" borderId="1" xfId="0" applyFont="1" applyFill="1" applyBorder="1"/>
    <xf numFmtId="183" fontId="58" fillId="2" borderId="1" xfId="0" applyNumberFormat="1" applyFont="1" applyFill="1" applyBorder="1" applyAlignment="1">
      <alignment horizontal="center"/>
    </xf>
    <xf numFmtId="0" fontId="59" fillId="2" borderId="4" xfId="0" applyFont="1" applyFill="1" applyBorder="1" applyAlignment="1">
      <alignment horizontal="left"/>
    </xf>
    <xf numFmtId="181" fontId="0" fillId="2" borderId="1" xfId="0" applyNumberFormat="1" applyFont="1" applyFill="1" applyBorder="1" applyAlignment="1">
      <alignment horizontal="center"/>
    </xf>
    <xf numFmtId="0" fontId="54" fillId="2" borderId="1" xfId="0" applyFont="1" applyFill="1" applyBorder="1"/>
    <xf numFmtId="0" fontId="0" fillId="2" borderId="1" xfId="0" applyFont="1" applyFill="1" applyBorder="1" applyAlignment="1">
      <alignment horizontal="left" vertical="center" wrapText="1"/>
    </xf>
    <xf numFmtId="0" fontId="22" fillId="2" borderId="1" xfId="0" applyFont="1" applyFill="1" applyBorder="1"/>
    <xf numFmtId="0" fontId="2" fillId="2" borderId="1" xfId="0" applyFont="1" applyFill="1" applyBorder="1" applyAlignment="1">
      <alignment horizontal="center" vertical="center" wrapText="1"/>
    </xf>
    <xf numFmtId="0" fontId="4" fillId="2" borderId="2" xfId="0" applyFont="1" applyFill="1" applyBorder="1" applyAlignment="1">
      <alignment horizontal="center"/>
    </xf>
    <xf numFmtId="0" fontId="4" fillId="2" borderId="3" xfId="0" applyFont="1" applyFill="1" applyBorder="1" applyAlignment="1">
      <alignment horizontal="center"/>
    </xf>
    <xf numFmtId="0" fontId="0" fillId="0" borderId="18" xfId="0" applyFont="1" applyBorder="1" applyAlignment="1" applyProtection="1">
      <alignment horizontal="left" vertical="top" wrapText="1"/>
      <protection locked="0"/>
    </xf>
    <xf numFmtId="0" fontId="0" fillId="0" borderId="19" xfId="0" applyFont="1" applyBorder="1" applyAlignment="1" applyProtection="1">
      <alignment horizontal="left" vertical="top" wrapText="1"/>
      <protection locked="0"/>
    </xf>
    <xf numFmtId="0" fontId="0" fillId="0" borderId="20" xfId="0" applyFont="1" applyBorder="1" applyAlignment="1" applyProtection="1">
      <alignment horizontal="left" vertical="top" wrapText="1"/>
      <protection locked="0"/>
    </xf>
    <xf numFmtId="0" fontId="0" fillId="0" borderId="16" xfId="0" applyFont="1" applyBorder="1" applyAlignment="1" applyProtection="1">
      <alignment horizontal="left" vertical="top" wrapText="1"/>
      <protection locked="0"/>
    </xf>
    <xf numFmtId="0" fontId="0" fillId="0" borderId="0" xfId="0" applyFont="1" applyBorder="1" applyAlignment="1" applyProtection="1">
      <alignment horizontal="left" vertical="top" wrapText="1"/>
      <protection locked="0"/>
    </xf>
    <xf numFmtId="0" fontId="0" fillId="0" borderId="17" xfId="0" applyFont="1" applyBorder="1" applyAlignment="1" applyProtection="1">
      <alignment horizontal="left" vertical="top" wrapText="1"/>
      <protection locked="0"/>
    </xf>
    <xf numFmtId="0" fontId="0" fillId="0" borderId="21" xfId="0" applyFont="1" applyBorder="1" applyAlignment="1" applyProtection="1">
      <alignment horizontal="left" vertical="top" wrapText="1"/>
      <protection locked="0"/>
    </xf>
    <xf numFmtId="0" fontId="0" fillId="0" borderId="22" xfId="0" applyFont="1" applyBorder="1" applyAlignment="1" applyProtection="1">
      <alignment horizontal="left" vertical="top" wrapText="1"/>
      <protection locked="0"/>
    </xf>
    <xf numFmtId="0" fontId="0" fillId="0" borderId="23" xfId="0" applyFont="1" applyBorder="1" applyAlignment="1" applyProtection="1">
      <alignment horizontal="left" vertical="top" wrapText="1"/>
      <protection locked="0"/>
    </xf>
    <xf numFmtId="0" fontId="10" fillId="0" borderId="18" xfId="0" applyFont="1" applyBorder="1" applyAlignment="1" applyProtection="1">
      <alignment horizontal="left" wrapText="1"/>
      <protection locked="0"/>
    </xf>
    <xf numFmtId="0" fontId="10" fillId="0" borderId="19" xfId="0" applyFont="1" applyBorder="1" applyAlignment="1" applyProtection="1">
      <alignment horizontal="left" wrapText="1"/>
      <protection locked="0"/>
    </xf>
    <xf numFmtId="0" fontId="10" fillId="0" borderId="20" xfId="0" applyFont="1" applyBorder="1" applyAlignment="1" applyProtection="1">
      <alignment horizontal="left" wrapText="1"/>
      <protection locked="0"/>
    </xf>
    <xf numFmtId="0" fontId="10" fillId="0" borderId="16" xfId="0" applyFont="1" applyBorder="1" applyAlignment="1" applyProtection="1">
      <alignment horizontal="left" wrapText="1"/>
      <protection locked="0"/>
    </xf>
    <xf numFmtId="0" fontId="10" fillId="0" borderId="0" xfId="0" applyFont="1" applyBorder="1" applyAlignment="1" applyProtection="1">
      <alignment horizontal="left" wrapText="1"/>
      <protection locked="0"/>
    </xf>
    <xf numFmtId="0" fontId="10" fillId="0" borderId="17" xfId="0" applyFont="1" applyBorder="1" applyAlignment="1" applyProtection="1">
      <alignment horizontal="left" wrapText="1"/>
      <protection locked="0"/>
    </xf>
    <xf numFmtId="0" fontId="10" fillId="0" borderId="21" xfId="0" applyFont="1" applyBorder="1" applyAlignment="1" applyProtection="1">
      <alignment horizontal="left" wrapText="1"/>
      <protection locked="0"/>
    </xf>
    <xf numFmtId="0" fontId="10" fillId="0" borderId="22" xfId="0" applyFont="1" applyBorder="1" applyAlignment="1" applyProtection="1">
      <alignment horizontal="left" wrapText="1"/>
      <protection locked="0"/>
    </xf>
    <xf numFmtId="0" fontId="10" fillId="0" borderId="23" xfId="0" applyFont="1" applyBorder="1" applyAlignment="1" applyProtection="1">
      <alignment horizontal="left" wrapText="1"/>
      <protection locked="0"/>
    </xf>
    <xf numFmtId="0" fontId="10" fillId="0" borderId="0" xfId="0" applyFont="1" applyBorder="1" applyAlignment="1" applyProtection="1">
      <alignment wrapText="1"/>
      <protection locked="0"/>
    </xf>
    <xf numFmtId="0" fontId="10" fillId="0" borderId="0" xfId="0" applyFont="1" applyBorder="1" applyAlignment="1" applyProtection="1">
      <protection locked="0"/>
    </xf>
    <xf numFmtId="0" fontId="0" fillId="0" borderId="0" xfId="0" applyBorder="1"/>
    <xf numFmtId="0" fontId="0" fillId="0" borderId="0" xfId="0" applyBorder="1" applyAlignment="1">
      <alignment vertical="center"/>
    </xf>
    <xf numFmtId="0" fontId="2" fillId="0" borderId="1" xfId="0" applyFont="1" applyBorder="1" applyAlignment="1">
      <alignment horizontal="center" wrapText="1"/>
    </xf>
    <xf numFmtId="0" fontId="0" fillId="0" borderId="0" xfId="0" applyBorder="1" applyAlignment="1"/>
    <xf numFmtId="0" fontId="2" fillId="0" borderId="0" xfId="0" applyFont="1" applyBorder="1"/>
    <xf numFmtId="184" fontId="24" fillId="0" borderId="0" xfId="0" applyNumberFormat="1" applyFont="1" applyBorder="1" applyAlignment="1">
      <alignment horizontal="center" vertical="center"/>
    </xf>
    <xf numFmtId="0" fontId="0" fillId="0" borderId="0" xfId="0" applyAlignment="1">
      <alignment horizontal="left" vertical="top" wrapText="1"/>
    </xf>
    <xf numFmtId="0" fontId="0" fillId="0" borderId="0" xfId="0" applyAlignment="1">
      <alignment vertical="top" wrapText="1"/>
    </xf>
    <xf numFmtId="0" fontId="2" fillId="0" borderId="0" xfId="0" applyFont="1" applyAlignment="1">
      <alignment horizontal="left" vertical="top" wrapText="1"/>
    </xf>
    <xf numFmtId="0" fontId="2" fillId="9" borderId="0" xfId="0" applyFont="1" applyFill="1"/>
    <xf numFmtId="0" fontId="2" fillId="2" borderId="0" xfId="0" applyFont="1" applyFill="1"/>
    <xf numFmtId="0" fontId="0" fillId="0" borderId="0" xfId="0" applyBorder="1" applyAlignment="1">
      <alignment horizontal="center"/>
    </xf>
    <xf numFmtId="0" fontId="2" fillId="0" borderId="0" xfId="0" applyFont="1" applyBorder="1" applyAlignment="1">
      <alignment horizontal="center"/>
    </xf>
    <xf numFmtId="0" fontId="2" fillId="4" borderId="0" xfId="0" applyFont="1" applyFill="1"/>
    <xf numFmtId="0" fontId="2" fillId="10" borderId="0" xfId="0" applyFont="1" applyFill="1"/>
    <xf numFmtId="0" fontId="0" fillId="2" borderId="0" xfId="0" applyFill="1"/>
    <xf numFmtId="0" fontId="0" fillId="0" borderId="0" xfId="0" applyAlignment="1" applyProtection="1">
      <alignment horizontal="center"/>
    </xf>
    <xf numFmtId="177" fontId="16" fillId="2" borderId="1" xfId="0" applyNumberFormat="1" applyFont="1" applyFill="1" applyBorder="1" applyAlignment="1" applyProtection="1">
      <alignment horizontal="left"/>
    </xf>
    <xf numFmtId="0" fontId="6" fillId="4" borderId="1" xfId="0" applyFont="1" applyFill="1" applyBorder="1" applyAlignment="1" applyProtection="1">
      <alignment horizontal="center"/>
      <protection locked="0"/>
    </xf>
    <xf numFmtId="0" fontId="53" fillId="2" borderId="1" xfId="0" applyFont="1" applyFill="1" applyBorder="1" applyProtection="1"/>
    <xf numFmtId="183" fontId="60" fillId="2" borderId="1" xfId="0" applyNumberFormat="1" applyFont="1" applyFill="1" applyBorder="1" applyAlignment="1" applyProtection="1">
      <alignment horizontal="center"/>
    </xf>
    <xf numFmtId="183" fontId="61" fillId="2" borderId="1" xfId="0" applyNumberFormat="1" applyFont="1" applyFill="1" applyBorder="1" applyAlignment="1" applyProtection="1">
      <alignment horizontal="center"/>
    </xf>
    <xf numFmtId="183" fontId="60" fillId="3" borderId="1" xfId="0" applyNumberFormat="1" applyFont="1" applyFill="1" applyBorder="1" applyAlignment="1" applyProtection="1">
      <alignment horizontal="center"/>
    </xf>
    <xf numFmtId="0" fontId="0" fillId="2" borderId="10" xfId="0" applyFont="1" applyFill="1" applyBorder="1" applyAlignment="1" applyProtection="1">
      <alignment horizontal="center"/>
    </xf>
    <xf numFmtId="0" fontId="0" fillId="2" borderId="11" xfId="0" applyFont="1" applyFill="1" applyBorder="1" applyAlignment="1" applyProtection="1">
      <alignment horizontal="center"/>
    </xf>
    <xf numFmtId="0" fontId="0" fillId="2" borderId="12" xfId="0" applyFont="1" applyFill="1" applyBorder="1" applyAlignment="1" applyProtection="1">
      <alignment horizontal="center"/>
    </xf>
    <xf numFmtId="0" fontId="0" fillId="2" borderId="14" xfId="0" applyFont="1" applyFill="1" applyBorder="1" applyAlignment="1" applyProtection="1">
      <alignment horizontal="center"/>
    </xf>
    <xf numFmtId="0" fontId="0" fillId="2" borderId="8" xfId="0" applyFont="1" applyFill="1" applyBorder="1" applyAlignment="1" applyProtection="1">
      <alignment horizontal="center"/>
    </xf>
    <xf numFmtId="0" fontId="0" fillId="2" borderId="15" xfId="0" applyFont="1" applyFill="1" applyBorder="1" applyAlignment="1" applyProtection="1">
      <alignment horizontal="center"/>
    </xf>
    <xf numFmtId="0" fontId="10" fillId="0" borderId="16" xfId="0" applyFont="1" applyBorder="1" applyAlignment="1" applyProtection="1">
      <alignment horizontal="left" wrapText="1"/>
    </xf>
    <xf numFmtId="0" fontId="10" fillId="0" borderId="0" xfId="0" applyFont="1" applyBorder="1" applyAlignment="1" applyProtection="1">
      <alignment horizontal="left" wrapText="1"/>
    </xf>
    <xf numFmtId="0" fontId="10" fillId="0" borderId="17" xfId="0" applyFont="1" applyBorder="1" applyAlignment="1" applyProtection="1">
      <alignment horizontal="left" wrapText="1"/>
    </xf>
    <xf numFmtId="0" fontId="10" fillId="0" borderId="21" xfId="0" applyFont="1" applyBorder="1" applyAlignment="1" applyProtection="1">
      <alignment horizontal="left" wrapText="1"/>
    </xf>
    <xf numFmtId="0" fontId="10" fillId="0" borderId="22" xfId="0" applyFont="1" applyBorder="1" applyAlignment="1" applyProtection="1">
      <alignment horizontal="left" wrapText="1"/>
    </xf>
    <xf numFmtId="0" fontId="10" fillId="0" borderId="23" xfId="0" applyFont="1" applyBorder="1" applyAlignment="1" applyProtection="1">
      <alignment horizontal="left" wrapText="1"/>
    </xf>
    <xf numFmtId="0" fontId="0" fillId="0" borderId="0" xfId="0" applyAlignment="1"/>
    <xf numFmtId="0" fontId="2" fillId="4" borderId="1" xfId="0" applyFont="1" applyFill="1" applyBorder="1" applyAlignment="1">
      <alignment horizontal="center" vertical="center" wrapText="1"/>
    </xf>
    <xf numFmtId="0" fontId="0" fillId="2" borderId="1" xfId="0" applyFont="1" applyFill="1" applyBorder="1" applyAlignment="1">
      <alignment horizontal="center" vertical="center"/>
    </xf>
    <xf numFmtId="0" fontId="2" fillId="4" borderId="1" xfId="0" applyFont="1" applyFill="1" applyBorder="1" applyAlignment="1">
      <alignment vertical="center" wrapText="1"/>
    </xf>
    <xf numFmtId="0" fontId="26" fillId="4" borderId="1" xfId="0" applyFont="1" applyFill="1" applyBorder="1" applyAlignment="1" applyProtection="1">
      <alignment horizontal="center"/>
      <protection locked="0"/>
    </xf>
    <xf numFmtId="0" fontId="2" fillId="4" borderId="1" xfId="0" applyFont="1" applyFill="1" applyBorder="1" applyAlignment="1">
      <alignment vertical="top" wrapText="1"/>
    </xf>
    <xf numFmtId="0" fontId="61" fillId="2" borderId="1" xfId="0" applyFont="1" applyFill="1" applyBorder="1" applyAlignment="1">
      <alignment horizontal="center"/>
    </xf>
    <xf numFmtId="0" fontId="2" fillId="4" borderId="1" xfId="0" applyFont="1" applyFill="1" applyBorder="1" applyAlignment="1">
      <alignment horizontal="left" wrapText="1"/>
    </xf>
    <xf numFmtId="0" fontId="0" fillId="4" borderId="1" xfId="0" applyFill="1" applyBorder="1" applyAlignment="1">
      <alignment horizontal="left" wrapText="1"/>
    </xf>
    <xf numFmtId="0" fontId="52" fillId="2" borderId="1" xfId="0" applyFont="1" applyFill="1" applyBorder="1" applyAlignment="1">
      <alignment horizontal="left" vertical="center"/>
    </xf>
    <xf numFmtId="0" fontId="2" fillId="4" borderId="1" xfId="0" applyFont="1" applyFill="1" applyBorder="1" applyAlignment="1">
      <alignment horizontal="left" vertical="center" wrapText="1"/>
    </xf>
    <xf numFmtId="0" fontId="4" fillId="2" borderId="1" xfId="0" applyFont="1" applyFill="1" applyBorder="1" applyAlignment="1">
      <alignment horizontal="right"/>
    </xf>
    <xf numFmtId="0" fontId="4" fillId="2" borderId="1" xfId="0" applyFont="1" applyFill="1" applyBorder="1" applyAlignment="1">
      <alignment horizontal="left"/>
    </xf>
    <xf numFmtId="0" fontId="53" fillId="2" borderId="1" xfId="0" applyFont="1" applyFill="1" applyBorder="1" applyAlignment="1">
      <alignment horizontal="left" vertical="center"/>
    </xf>
    <xf numFmtId="183" fontId="16" fillId="2" borderId="1" xfId="0" applyNumberFormat="1" applyFont="1" applyFill="1" applyBorder="1" applyAlignment="1">
      <alignment horizontal="center"/>
    </xf>
    <xf numFmtId="0" fontId="40" fillId="2" borderId="1" xfId="0" applyFont="1" applyFill="1" applyBorder="1" applyAlignment="1">
      <alignment horizontal="left"/>
    </xf>
    <xf numFmtId="0" fontId="20" fillId="3" borderId="1" xfId="0" applyFont="1" applyFill="1" applyBorder="1" applyAlignment="1" applyProtection="1">
      <protection locked="0"/>
    </xf>
    <xf numFmtId="0" fontId="0" fillId="2" borderId="1" xfId="0" applyFill="1" applyBorder="1"/>
    <xf numFmtId="0" fontId="26" fillId="4" borderId="1" xfId="0" applyFont="1" applyFill="1" applyBorder="1" applyAlignment="1">
      <alignment horizontal="center" wrapText="1"/>
    </xf>
    <xf numFmtId="0" fontId="26" fillId="4" borderId="1" xfId="0" applyFont="1" applyFill="1" applyBorder="1" applyAlignment="1">
      <alignment horizontal="center"/>
    </xf>
    <xf numFmtId="0" fontId="62" fillId="11" borderId="1" xfId="0" applyFont="1" applyFill="1" applyBorder="1" applyAlignment="1">
      <alignment horizontal="center"/>
    </xf>
    <xf numFmtId="0" fontId="26" fillId="11" borderId="1" xfId="0" applyFont="1" applyFill="1" applyBorder="1" applyAlignment="1">
      <alignment horizontal="center"/>
    </xf>
    <xf numFmtId="0" fontId="26" fillId="0" borderId="1" xfId="0" applyFont="1" applyBorder="1" applyAlignment="1">
      <alignment horizontal="center"/>
    </xf>
    <xf numFmtId="0" fontId="0" fillId="0" borderId="0" xfId="0" applyFont="1" applyAlignment="1">
      <alignment wrapText="1"/>
    </xf>
    <xf numFmtId="0" fontId="2" fillId="11" borderId="1" xfId="0" applyFont="1" applyFill="1" applyBorder="1" applyAlignment="1">
      <alignment horizontal="center"/>
    </xf>
    <xf numFmtId="0" fontId="0" fillId="11" borderId="1" xfId="0" applyFill="1" applyBorder="1" applyAlignment="1">
      <alignment horizontal="center"/>
    </xf>
    <xf numFmtId="0" fontId="0" fillId="0" borderId="19" xfId="0" applyBorder="1" applyAlignment="1">
      <alignment horizontal="left" vertical="center"/>
    </xf>
    <xf numFmtId="0" fontId="56" fillId="11" borderId="1" xfId="0" applyFont="1" applyFill="1" applyBorder="1" applyAlignment="1">
      <alignment horizontal="center"/>
    </xf>
    <xf numFmtId="0" fontId="2" fillId="11" borderId="1" xfId="0" applyFont="1" applyFill="1" applyBorder="1" applyAlignment="1">
      <alignment horizontal="center" wrapText="1"/>
    </xf>
    <xf numFmtId="0" fontId="0" fillId="0" borderId="0" xfId="0" applyBorder="1" applyAlignment="1">
      <alignment horizontal="left"/>
    </xf>
    <xf numFmtId="0" fontId="0" fillId="0" borderId="3" xfId="0" applyBorder="1"/>
    <xf numFmtId="184" fontId="24" fillId="11" borderId="1" xfId="0" applyNumberFormat="1" applyFont="1" applyFill="1" applyBorder="1" applyAlignment="1">
      <alignment horizontal="center" vertical="center"/>
    </xf>
    <xf numFmtId="0" fontId="2" fillId="0" borderId="24" xfId="0" applyFont="1" applyBorder="1"/>
    <xf numFmtId="184" fontId="24" fillId="0" borderId="1" xfId="0" applyNumberFormat="1" applyFont="1" applyBorder="1" applyAlignment="1">
      <alignment horizontal="center" vertical="center"/>
    </xf>
    <xf numFmtId="0" fontId="2" fillId="0" borderId="1" xfId="0" applyFont="1" applyBorder="1"/>
    <xf numFmtId="0" fontId="0" fillId="0" borderId="0" xfId="0" applyFill="1" applyBorder="1"/>
    <xf numFmtId="0" fontId="0" fillId="0" borderId="20" xfId="0" applyBorder="1" applyAlignment="1">
      <alignment horizontal="left" vertical="center"/>
    </xf>
    <xf numFmtId="0" fontId="0" fillId="0" borderId="17" xfId="0" applyBorder="1" applyAlignment="1">
      <alignment horizontal="left"/>
    </xf>
    <xf numFmtId="0" fontId="25" fillId="0" borderId="1" xfId="0" applyFont="1" applyBorder="1"/>
    <xf numFmtId="0" fontId="0" fillId="0" borderId="17" xfId="0" applyBorder="1"/>
    <xf numFmtId="0" fontId="0" fillId="0" borderId="25" xfId="0" applyBorder="1" applyAlignment="1">
      <alignment horizontal="center"/>
    </xf>
    <xf numFmtId="184" fontId="24" fillId="0" borderId="23" xfId="0" applyNumberFormat="1" applyFont="1" applyBorder="1" applyAlignment="1">
      <alignment horizontal="center" vertical="center"/>
    </xf>
    <xf numFmtId="184" fontId="24" fillId="2" borderId="0" xfId="0" applyNumberFormat="1" applyFont="1" applyFill="1" applyBorder="1" applyAlignment="1" applyProtection="1">
      <alignment horizontal="center" vertical="center"/>
      <protection hidden="1"/>
    </xf>
    <xf numFmtId="0" fontId="0" fillId="0" borderId="0" xfId="0" applyProtection="1">
      <protection hidden="1"/>
    </xf>
    <xf numFmtId="0" fontId="36" fillId="0" borderId="0" xfId="51" applyBorder="1" applyAlignment="1">
      <alignment vertical="center" wrapText="1"/>
    </xf>
    <xf numFmtId="0" fontId="63" fillId="0" borderId="0" xfId="51" applyFont="1" applyBorder="1" applyAlignment="1">
      <alignment vertical="center" wrapText="1"/>
    </xf>
    <xf numFmtId="0" fontId="36" fillId="0" borderId="0" xfId="51" applyBorder="1" applyAlignment="1">
      <alignment wrapText="1"/>
    </xf>
    <xf numFmtId="0" fontId="36" fillId="0" borderId="0" xfId="51" applyBorder="1" applyAlignment="1">
      <alignment horizontal="center" vertical="top" wrapText="1"/>
    </xf>
    <xf numFmtId="0" fontId="2" fillId="2" borderId="1" xfId="0" applyFont="1" applyFill="1" applyBorder="1" applyAlignment="1">
      <alignment horizontal="center" vertical="center"/>
    </xf>
    <xf numFmtId="0" fontId="2" fillId="2" borderId="1" xfId="0" applyFont="1" applyFill="1" applyBorder="1" applyAlignment="1">
      <alignment horizontal="center"/>
    </xf>
    <xf numFmtId="0" fontId="0" fillId="2" borderId="1" xfId="0" applyFill="1" applyBorder="1" applyAlignment="1">
      <alignment horizontal="center"/>
    </xf>
    <xf numFmtId="0" fontId="64" fillId="0" borderId="1" xfId="0" applyFont="1" applyBorder="1" applyAlignment="1">
      <alignment horizontal="center" vertical="center" wrapText="1"/>
    </xf>
    <xf numFmtId="0" fontId="26" fillId="3" borderId="1" xfId="0" applyFont="1" applyFill="1" applyBorder="1" applyAlignment="1">
      <alignment horizontal="center" wrapText="1"/>
    </xf>
    <xf numFmtId="0" fontId="64" fillId="10" borderId="1" xfId="0" applyFont="1" applyFill="1" applyBorder="1" applyAlignment="1">
      <alignment horizontal="center" vertical="center" wrapText="1"/>
    </xf>
    <xf numFmtId="0" fontId="26" fillId="10" borderId="1" xfId="0" applyFont="1" applyFill="1" applyBorder="1" applyAlignment="1">
      <alignment horizontal="center" wrapText="1"/>
    </xf>
    <xf numFmtId="0" fontId="64" fillId="0" borderId="1" xfId="0" applyFont="1" applyBorder="1" applyAlignment="1">
      <alignment horizontal="center" wrapText="1"/>
    </xf>
    <xf numFmtId="0" fontId="64" fillId="2" borderId="6" xfId="0" applyFont="1" applyFill="1" applyBorder="1" applyAlignment="1">
      <alignment horizontal="center" vertical="center" wrapText="1"/>
    </xf>
    <xf numFmtId="0" fontId="26" fillId="2" borderId="1" xfId="0" applyFont="1" applyFill="1" applyBorder="1" applyAlignment="1">
      <alignment horizontal="center" wrapText="1"/>
    </xf>
    <xf numFmtId="0" fontId="64" fillId="2" borderId="9" xfId="0" applyFont="1" applyFill="1" applyBorder="1" applyAlignment="1">
      <alignment horizontal="center" vertical="center" wrapText="1"/>
    </xf>
    <xf numFmtId="0" fontId="64" fillId="2" borderId="4" xfId="0" applyFont="1" applyFill="1" applyBorder="1" applyAlignment="1">
      <alignment horizontal="center" vertical="center" wrapText="1"/>
    </xf>
    <xf numFmtId="0" fontId="64" fillId="3" borderId="6" xfId="0" applyFont="1" applyFill="1" applyBorder="1" applyAlignment="1">
      <alignment horizontal="center" vertical="center" wrapText="1"/>
    </xf>
    <xf numFmtId="0" fontId="64" fillId="3" borderId="9" xfId="0" applyFont="1" applyFill="1" applyBorder="1" applyAlignment="1">
      <alignment horizontal="center" vertical="center" wrapText="1"/>
    </xf>
    <xf numFmtId="0" fontId="64" fillId="3" borderId="4" xfId="0" applyFont="1" applyFill="1" applyBorder="1" applyAlignment="1">
      <alignment horizontal="center" vertical="center" wrapText="1"/>
    </xf>
    <xf numFmtId="0" fontId="64" fillId="3" borderId="6" xfId="0" applyFont="1" applyFill="1" applyBorder="1" applyAlignment="1">
      <alignment horizontal="center" vertical="center"/>
    </xf>
    <xf numFmtId="0" fontId="64" fillId="3" borderId="9" xfId="0" applyFont="1" applyFill="1" applyBorder="1" applyAlignment="1">
      <alignment horizontal="center" vertical="center"/>
    </xf>
    <xf numFmtId="0" fontId="64" fillId="3" borderId="4" xfId="0" applyFont="1" applyFill="1" applyBorder="1" applyAlignment="1">
      <alignment horizontal="center" vertical="center"/>
    </xf>
    <xf numFmtId="0" fontId="64" fillId="0" borderId="0" xfId="0" applyFont="1" applyBorder="1" applyAlignment="1">
      <alignment vertical="center" wrapText="1"/>
    </xf>
    <xf numFmtId="0" fontId="64" fillId="0" borderId="0" xfId="0" applyFont="1" applyBorder="1" applyAlignment="1">
      <alignment horizontal="center" wrapText="1"/>
    </xf>
    <xf numFmtId="0" fontId="36" fillId="0" borderId="0" xfId="51" applyBorder="1" applyAlignment="1">
      <alignment vertical="top" wrapText="1"/>
    </xf>
    <xf numFmtId="0" fontId="65" fillId="0" borderId="0" xfId="51" applyFont="1" applyBorder="1" applyAlignment="1">
      <alignment vertical="top" wrapText="1"/>
    </xf>
    <xf numFmtId="0" fontId="62" fillId="0" borderId="0" xfId="0" applyFont="1" applyBorder="1" applyAlignment="1">
      <alignment wrapText="1"/>
    </xf>
    <xf numFmtId="0" fontId="66" fillId="0" borderId="0" xfId="0" applyFont="1" applyBorder="1" applyAlignment="1">
      <alignment horizontal="center" wrapText="1"/>
    </xf>
    <xf numFmtId="0" fontId="67" fillId="0" borderId="0" xfId="0" applyFont="1" applyBorder="1" applyAlignment="1">
      <alignment horizontal="center" wrapText="1"/>
    </xf>
    <xf numFmtId="0" fontId="0" fillId="0" borderId="0" xfId="0" applyAlignment="1" applyProtection="1"/>
    <xf numFmtId="0" fontId="2" fillId="0" borderId="26" xfId="0" applyFont="1" applyBorder="1" applyAlignment="1" applyProtection="1">
      <alignment horizontal="center" vertical="center" wrapText="1"/>
    </xf>
    <xf numFmtId="0" fontId="2" fillId="0" borderId="27" xfId="0" applyFont="1" applyBorder="1" applyAlignment="1" applyProtection="1">
      <alignment horizontal="center"/>
    </xf>
    <xf numFmtId="0" fontId="0" fillId="0" borderId="27" xfId="0" applyBorder="1" applyAlignment="1" applyProtection="1">
      <alignment horizontal="center"/>
    </xf>
    <xf numFmtId="0" fontId="2" fillId="0" borderId="28" xfId="0" applyFont="1" applyBorder="1" applyAlignment="1" applyProtection="1">
      <alignment horizontal="center" vertical="center"/>
    </xf>
    <xf numFmtId="0" fontId="56" fillId="0" borderId="2" xfId="0" applyFont="1" applyBorder="1" applyAlignment="1" applyProtection="1">
      <alignment horizontal="center"/>
    </xf>
    <xf numFmtId="0" fontId="56" fillId="0" borderId="5" xfId="0" applyFont="1" applyBorder="1" applyAlignment="1" applyProtection="1">
      <alignment horizontal="center"/>
    </xf>
    <xf numFmtId="0" fontId="2" fillId="0" borderId="28" xfId="0" applyFont="1" applyBorder="1" applyAlignment="1" applyProtection="1">
      <alignment horizontal="center" vertical="center" wrapText="1"/>
    </xf>
    <xf numFmtId="184" fontId="24" fillId="0" borderId="1" xfId="0" applyNumberFormat="1" applyFont="1" applyBorder="1" applyAlignment="1" applyProtection="1">
      <alignment horizontal="center" vertical="center"/>
    </xf>
    <xf numFmtId="0" fontId="0" fillId="0" borderId="28" xfId="0" applyBorder="1" applyAlignment="1" applyProtection="1">
      <alignment horizontal="center" vertical="center"/>
    </xf>
    <xf numFmtId="178" fontId="0" fillId="2" borderId="1" xfId="0" applyNumberFormat="1" applyFont="1" applyFill="1" applyBorder="1" applyAlignment="1" applyProtection="1">
      <alignment horizontal="center"/>
    </xf>
    <xf numFmtId="0" fontId="0" fillId="0" borderId="29" xfId="0" applyBorder="1" applyAlignment="1" applyProtection="1">
      <alignment horizontal="center" vertical="center"/>
    </xf>
    <xf numFmtId="184" fontId="24" fillId="0" borderId="25" xfId="0" applyNumberFormat="1" applyFont="1" applyBorder="1" applyAlignment="1" applyProtection="1">
      <alignment horizontal="center" vertical="center"/>
    </xf>
    <xf numFmtId="183" fontId="4" fillId="2" borderId="6" xfId="0" applyNumberFormat="1" applyFont="1" applyFill="1" applyBorder="1" applyAlignment="1" applyProtection="1">
      <alignment horizontal="center"/>
    </xf>
    <xf numFmtId="0" fontId="0" fillId="2" borderId="10" xfId="0" applyFont="1" applyFill="1" applyBorder="1" applyAlignment="1" applyProtection="1">
      <alignment horizontal="center" vertical="center" wrapText="1"/>
    </xf>
    <xf numFmtId="0" fontId="4" fillId="2" borderId="2" xfId="0" applyFont="1" applyFill="1" applyBorder="1" applyAlignment="1" applyProtection="1">
      <alignment horizontal="right"/>
    </xf>
    <xf numFmtId="0" fontId="0" fillId="2" borderId="15" xfId="0" applyFont="1" applyFill="1" applyBorder="1" applyProtection="1"/>
    <xf numFmtId="0" fontId="0" fillId="0" borderId="4" xfId="0" applyFont="1" applyBorder="1" applyAlignment="1" applyProtection="1">
      <alignment horizontal="center"/>
      <protection locked="0"/>
    </xf>
    <xf numFmtId="0" fontId="0" fillId="2" borderId="1" xfId="0" applyFill="1" applyBorder="1" applyProtection="1"/>
    <xf numFmtId="0" fontId="0" fillId="2" borderId="9" xfId="0" applyFill="1" applyBorder="1" applyAlignment="1" applyProtection="1">
      <alignment horizontal="center" vertical="center" wrapText="1"/>
    </xf>
    <xf numFmtId="0" fontId="0" fillId="2" borderId="4" xfId="0" applyFill="1" applyBorder="1" applyAlignment="1" applyProtection="1">
      <alignment horizontal="center" vertical="center" wrapText="1"/>
    </xf>
    <xf numFmtId="0" fontId="0" fillId="2" borderId="1" xfId="0" applyFill="1" applyBorder="1" applyAlignment="1" applyProtection="1">
      <alignment vertical="center" wrapText="1"/>
    </xf>
    <xf numFmtId="0" fontId="68" fillId="0" borderId="1" xfId="0" applyFont="1" applyBorder="1" applyAlignment="1" applyProtection="1">
      <alignment horizontal="center" wrapText="1"/>
    </xf>
    <xf numFmtId="0" fontId="0" fillId="0" borderId="10" xfId="0" applyFont="1" applyBorder="1" applyAlignment="1" applyProtection="1">
      <alignment horizontal="left" wrapText="1"/>
    </xf>
    <xf numFmtId="0" fontId="0" fillId="0" borderId="11" xfId="0" applyFont="1" applyBorder="1" applyAlignment="1" applyProtection="1">
      <alignment horizontal="left" wrapText="1"/>
    </xf>
    <xf numFmtId="0" fontId="0" fillId="0" borderId="7" xfId="0" applyFont="1" applyBorder="1" applyAlignment="1" applyProtection="1">
      <alignment horizontal="left" wrapText="1"/>
    </xf>
    <xf numFmtId="0" fontId="0" fillId="0" borderId="0" xfId="0" applyFont="1" applyBorder="1" applyAlignment="1" applyProtection="1">
      <alignment horizontal="left" wrapText="1"/>
    </xf>
    <xf numFmtId="0" fontId="0" fillId="0" borderId="14" xfId="0" applyFont="1" applyBorder="1" applyAlignment="1" applyProtection="1">
      <alignment horizontal="left" wrapText="1"/>
    </xf>
    <xf numFmtId="0" fontId="10" fillId="0" borderId="0" xfId="0" applyFont="1" applyBorder="1" applyAlignment="1" applyProtection="1">
      <alignment wrapText="1"/>
    </xf>
    <xf numFmtId="0" fontId="0" fillId="0" borderId="0" xfId="0" applyFont="1" applyAlignment="1" applyProtection="1">
      <alignment wrapText="1"/>
    </xf>
    <xf numFmtId="0" fontId="0" fillId="0" borderId="30" xfId="0" applyBorder="1" applyAlignment="1" applyProtection="1">
      <alignment horizontal="center"/>
    </xf>
    <xf numFmtId="0" fontId="0" fillId="0" borderId="19" xfId="0" applyBorder="1" applyAlignment="1" applyProtection="1">
      <alignment horizontal="left" vertical="center"/>
    </xf>
    <xf numFmtId="0" fontId="56" fillId="0" borderId="3" xfId="0" applyFont="1" applyBorder="1" applyAlignment="1" applyProtection="1">
      <alignment horizontal="center"/>
    </xf>
    <xf numFmtId="0" fontId="2" fillId="0" borderId="2" xfId="0" applyFont="1" applyBorder="1" applyAlignment="1" applyProtection="1">
      <alignment horizontal="center" wrapText="1"/>
    </xf>
    <xf numFmtId="0" fontId="2" fillId="0" borderId="5" xfId="0" applyFont="1" applyBorder="1" applyAlignment="1" applyProtection="1">
      <alignment horizontal="center"/>
    </xf>
    <xf numFmtId="0" fontId="2" fillId="0" borderId="31" xfId="0" applyFont="1" applyBorder="1" applyAlignment="1" applyProtection="1">
      <alignment horizontal="center"/>
    </xf>
    <xf numFmtId="0" fontId="0" fillId="0" borderId="0" xfId="0" applyBorder="1" applyAlignment="1" applyProtection="1">
      <alignment horizontal="left"/>
    </xf>
    <xf numFmtId="0" fontId="0" fillId="0" borderId="32" xfId="0" applyBorder="1" applyProtection="1"/>
    <xf numFmtId="0" fontId="0" fillId="0" borderId="3" xfId="0" applyBorder="1" applyProtection="1"/>
    <xf numFmtId="0" fontId="25" fillId="0" borderId="1" xfId="0" applyFont="1" applyBorder="1" applyProtection="1"/>
    <xf numFmtId="184" fontId="24" fillId="0" borderId="32" xfId="0" applyNumberFormat="1" applyFont="1" applyBorder="1" applyAlignment="1" applyProtection="1">
      <alignment horizontal="center" vertical="center"/>
    </xf>
    <xf numFmtId="0" fontId="2" fillId="0" borderId="24" xfId="0" applyFont="1" applyBorder="1" applyProtection="1"/>
    <xf numFmtId="0" fontId="0" fillId="0" borderId="25" xfId="0" applyBorder="1" applyProtection="1"/>
    <xf numFmtId="184" fontId="24" fillId="0" borderId="33" xfId="0" applyNumberFormat="1" applyFont="1" applyBorder="1" applyAlignment="1" applyProtection="1">
      <alignment horizontal="center" vertical="center"/>
    </xf>
    <xf numFmtId="0" fontId="0" fillId="0" borderId="20" xfId="0" applyBorder="1" applyAlignment="1" applyProtection="1">
      <alignment horizontal="left" vertical="center"/>
    </xf>
    <xf numFmtId="0" fontId="0" fillId="0" borderId="0" xfId="0" applyBorder="1" applyAlignment="1" applyProtection="1">
      <alignment horizontal="center"/>
    </xf>
    <xf numFmtId="0" fontId="0" fillId="0" borderId="17" xfId="0" applyBorder="1" applyAlignment="1" applyProtection="1">
      <alignment horizontal="left"/>
    </xf>
    <xf numFmtId="0" fontId="2" fillId="0" borderId="0" xfId="0" applyFont="1" applyBorder="1" applyAlignment="1" applyProtection="1">
      <alignment horizontal="center"/>
    </xf>
    <xf numFmtId="0" fontId="0" fillId="0" borderId="17" xfId="0" applyBorder="1" applyProtection="1"/>
    <xf numFmtId="184" fontId="24" fillId="0" borderId="23" xfId="0" applyNumberFormat="1" applyFont="1" applyBorder="1" applyAlignment="1" applyProtection="1">
      <alignment horizontal="center" vertical="center"/>
    </xf>
    <xf numFmtId="0" fontId="0" fillId="0" borderId="12" xfId="0" applyFont="1" applyBorder="1" applyAlignment="1" applyProtection="1">
      <alignment horizontal="left" wrapText="1"/>
    </xf>
    <xf numFmtId="0" fontId="0" fillId="0" borderId="13" xfId="0" applyFont="1" applyBorder="1" applyAlignment="1" applyProtection="1">
      <alignment horizontal="left" wrapText="1"/>
    </xf>
    <xf numFmtId="0" fontId="0" fillId="0" borderId="15" xfId="0" applyFont="1" applyBorder="1" applyAlignment="1" applyProtection="1">
      <alignment horizontal="left" wrapText="1"/>
    </xf>
    <xf numFmtId="0" fontId="0" fillId="2" borderId="0" xfId="0" applyFill="1" applyProtection="1"/>
    <xf numFmtId="0" fontId="0" fillId="2" borderId="0" xfId="0" applyFill="1" applyBorder="1" applyProtection="1"/>
    <xf numFmtId="0" fontId="36" fillId="0" borderId="34" xfId="51" applyBorder="1" applyAlignment="1" applyProtection="1">
      <alignment horizontal="center" vertical="center" wrapText="1"/>
    </xf>
    <xf numFmtId="0" fontId="63" fillId="0" borderId="35" xfId="51" applyFont="1" applyBorder="1" applyAlignment="1" applyProtection="1">
      <alignment horizontal="center" vertical="center" wrapText="1"/>
    </xf>
    <xf numFmtId="0" fontId="36" fillId="0" borderId="36" xfId="51" applyBorder="1" applyAlignment="1" applyProtection="1">
      <alignment horizontal="center" wrapText="1"/>
    </xf>
    <xf numFmtId="0" fontId="36" fillId="0" borderId="37" xfId="51" applyBorder="1" applyAlignment="1" applyProtection="1">
      <alignment horizontal="center" vertical="center" wrapText="1"/>
    </xf>
    <xf numFmtId="0" fontId="63" fillId="0" borderId="38" xfId="51" applyFont="1" applyBorder="1" applyAlignment="1" applyProtection="1">
      <alignment horizontal="center" vertical="center" wrapText="1"/>
    </xf>
    <xf numFmtId="0" fontId="36" fillId="0" borderId="39" xfId="51" applyBorder="1" applyAlignment="1" applyProtection="1">
      <alignment wrapText="1"/>
    </xf>
    <xf numFmtId="0" fontId="36" fillId="0" borderId="40" xfId="51" applyBorder="1" applyAlignment="1" applyProtection="1">
      <alignment horizontal="center" vertical="center" wrapText="1"/>
    </xf>
    <xf numFmtId="0" fontId="36" fillId="0" borderId="41" xfId="51" applyBorder="1" applyAlignment="1" applyProtection="1">
      <alignment horizontal="center" vertical="top" wrapText="1"/>
    </xf>
    <xf numFmtId="0" fontId="36" fillId="0" borderId="42" xfId="51" applyBorder="1" applyAlignment="1" applyProtection="1">
      <alignment horizontal="center" vertical="center" wrapText="1"/>
    </xf>
    <xf numFmtId="0" fontId="10" fillId="0" borderId="18" xfId="0" applyFont="1" applyBorder="1" applyAlignment="1" applyProtection="1">
      <alignment horizontal="left" wrapText="1"/>
    </xf>
    <xf numFmtId="0" fontId="10" fillId="0" borderId="19" xfId="0" applyFont="1" applyBorder="1" applyAlignment="1" applyProtection="1">
      <alignment horizontal="left" wrapText="1"/>
    </xf>
    <xf numFmtId="0" fontId="10" fillId="0" borderId="20" xfId="0" applyFont="1" applyBorder="1" applyAlignment="1" applyProtection="1">
      <alignment horizontal="left" wrapText="1"/>
    </xf>
    <xf numFmtId="0" fontId="36" fillId="0" borderId="43" xfId="51" applyBorder="1" applyAlignment="1" applyProtection="1">
      <alignment horizontal="center" vertical="center" wrapText="1"/>
    </xf>
    <xf numFmtId="0" fontId="36" fillId="0" borderId="44" xfId="51" applyBorder="1" applyAlignment="1" applyProtection="1">
      <alignment horizontal="center" vertical="top" wrapText="1"/>
    </xf>
    <xf numFmtId="0" fontId="62" fillId="0" borderId="20" xfId="0" applyFont="1" applyBorder="1" applyAlignment="1" applyProtection="1">
      <alignment horizontal="center" vertical="center" wrapText="1"/>
    </xf>
    <xf numFmtId="0" fontId="62" fillId="0" borderId="45" xfId="0" applyFont="1" applyBorder="1" applyAlignment="1" applyProtection="1">
      <alignment horizontal="left" vertical="center" wrapText="1"/>
    </xf>
    <xf numFmtId="0" fontId="62" fillId="0" borderId="46" xfId="0" applyFont="1" applyBorder="1" applyAlignment="1" applyProtection="1">
      <alignment horizontal="center" wrapText="1"/>
    </xf>
    <xf numFmtId="0" fontId="62" fillId="0" borderId="23" xfId="0" applyFont="1" applyBorder="1" applyAlignment="1" applyProtection="1">
      <alignment horizontal="center" vertical="center" wrapText="1"/>
    </xf>
    <xf numFmtId="0" fontId="62" fillId="0" borderId="47" xfId="0" applyFont="1" applyBorder="1" applyAlignment="1" applyProtection="1">
      <alignment horizontal="left" vertical="center" wrapText="1"/>
    </xf>
    <xf numFmtId="0" fontId="66" fillId="0" borderId="48" xfId="0" applyFont="1" applyBorder="1" applyAlignment="1" applyProtection="1">
      <alignment horizontal="center" wrapText="1"/>
    </xf>
    <xf numFmtId="0" fontId="64" fillId="0" borderId="20" xfId="0" applyFont="1" applyBorder="1" applyAlignment="1" applyProtection="1">
      <alignment horizontal="center" vertical="center" wrapText="1"/>
    </xf>
    <xf numFmtId="0" fontId="64" fillId="0" borderId="17" xfId="0" applyFont="1" applyBorder="1" applyAlignment="1" applyProtection="1">
      <alignment horizontal="center" wrapText="1"/>
    </xf>
    <xf numFmtId="0" fontId="64" fillId="0" borderId="17" xfId="0" applyFont="1" applyBorder="1" applyAlignment="1" applyProtection="1">
      <alignment horizontal="center" vertical="center" wrapText="1"/>
    </xf>
    <xf numFmtId="0" fontId="64" fillId="0" borderId="23" xfId="0" applyFont="1" applyBorder="1" applyAlignment="1" applyProtection="1">
      <alignment horizontal="center" vertical="center" wrapText="1"/>
    </xf>
    <xf numFmtId="0" fontId="64" fillId="0" borderId="23" xfId="0" applyFont="1" applyBorder="1" applyAlignment="1" applyProtection="1">
      <alignment horizontal="center" wrapText="1"/>
    </xf>
    <xf numFmtId="0" fontId="2" fillId="0" borderId="22" xfId="0" applyFont="1" applyBorder="1" applyProtection="1"/>
    <xf numFmtId="0" fontId="64" fillId="0" borderId="22" xfId="0" applyFont="1" applyFill="1" applyBorder="1" applyAlignment="1" applyProtection="1">
      <alignment horizontal="center" wrapText="1"/>
    </xf>
    <xf numFmtId="0" fontId="0" fillId="0" borderId="22" xfId="0" applyBorder="1" applyProtection="1"/>
    <xf numFmtId="0" fontId="36" fillId="0" borderId="49" xfId="51" applyBorder="1" applyAlignment="1" applyProtection="1">
      <alignment horizontal="center" wrapText="1"/>
    </xf>
    <xf numFmtId="0" fontId="36" fillId="0" borderId="50" xfId="51" applyBorder="1" applyAlignment="1" applyProtection="1">
      <alignment horizontal="center" wrapText="1"/>
    </xf>
    <xf numFmtId="0" fontId="36" fillId="0" borderId="51" xfId="51" applyBorder="1" applyAlignment="1" applyProtection="1">
      <alignment wrapText="1"/>
    </xf>
    <xf numFmtId="0" fontId="36" fillId="0" borderId="52" xfId="51" applyBorder="1" applyAlignment="1" applyProtection="1">
      <alignment wrapText="1"/>
    </xf>
    <xf numFmtId="0" fontId="36" fillId="0" borderId="53" xfId="51" applyBorder="1" applyAlignment="1" applyProtection="1">
      <alignment vertical="top" wrapText="1"/>
    </xf>
    <xf numFmtId="0" fontId="36" fillId="0" borderId="54" xfId="51" applyBorder="1" applyAlignment="1" applyProtection="1">
      <alignment vertical="top" wrapText="1"/>
    </xf>
    <xf numFmtId="0" fontId="36" fillId="0" borderId="40" xfId="51" applyBorder="1" applyAlignment="1" applyProtection="1">
      <alignment horizontal="center" wrapText="1"/>
    </xf>
    <xf numFmtId="0" fontId="36" fillId="0" borderId="42" xfId="51" applyBorder="1" applyAlignment="1" applyProtection="1">
      <alignment horizontal="center" wrapText="1"/>
    </xf>
    <xf numFmtId="0" fontId="36" fillId="0" borderId="37" xfId="51" applyBorder="1" applyAlignment="1" applyProtection="1">
      <alignment horizontal="center" wrapText="1"/>
    </xf>
    <xf numFmtId="0" fontId="36" fillId="0" borderId="43" xfId="51" applyBorder="1" applyAlignment="1" applyProtection="1">
      <alignment horizontal="center" wrapText="1"/>
    </xf>
    <xf numFmtId="0" fontId="36" fillId="0" borderId="55" xfId="51" applyBorder="1" applyAlignment="1" applyProtection="1">
      <alignment vertical="top" wrapText="1"/>
    </xf>
    <xf numFmtId="0" fontId="65" fillId="0" borderId="56" xfId="51" applyFont="1" applyBorder="1" applyAlignment="1" applyProtection="1">
      <alignment vertical="top" wrapText="1"/>
    </xf>
    <xf numFmtId="0" fontId="62" fillId="0" borderId="57" xfId="0" applyFont="1" applyBorder="1" applyAlignment="1" applyProtection="1">
      <alignment horizontal="center" wrapText="1"/>
    </xf>
    <xf numFmtId="0" fontId="66" fillId="0" borderId="58" xfId="0" applyFont="1" applyBorder="1" applyAlignment="1" applyProtection="1">
      <alignment horizontal="center" wrapText="1"/>
    </xf>
    <xf numFmtId="0" fontId="36" fillId="0" borderId="56" xfId="51" applyBorder="1" applyAlignment="1" applyProtection="1">
      <alignment vertical="top" wrapText="1"/>
    </xf>
    <xf numFmtId="0" fontId="67" fillId="0" borderId="46" xfId="0" applyFont="1" applyBorder="1" applyAlignment="1" applyProtection="1">
      <alignment horizontal="center" wrapText="1"/>
    </xf>
    <xf numFmtId="0" fontId="64" fillId="0" borderId="0" xfId="0" applyFont="1" applyAlignment="1" applyProtection="1">
      <alignment horizontal="center" wrapText="1"/>
    </xf>
    <xf numFmtId="0" fontId="64" fillId="0" borderId="22" xfId="0" applyFont="1" applyBorder="1" applyAlignment="1" applyProtection="1">
      <alignment horizontal="center" wrapText="1"/>
    </xf>
    <xf numFmtId="0" fontId="69" fillId="0" borderId="8" xfId="0" applyFont="1" applyBorder="1" applyAlignment="1" applyProtection="1">
      <alignment horizontal="center"/>
    </xf>
    <xf numFmtId="0" fontId="2" fillId="3" borderId="1" xfId="0" applyFont="1" applyFill="1" applyBorder="1" applyAlignment="1" applyProtection="1">
      <alignment horizontal="left" vertical="center" wrapText="1"/>
    </xf>
    <xf numFmtId="0" fontId="0" fillId="3" borderId="10" xfId="0" applyFont="1" applyFill="1" applyBorder="1" applyAlignment="1" applyProtection="1">
      <alignment horizontal="left"/>
    </xf>
    <xf numFmtId="0" fontId="0" fillId="3" borderId="12" xfId="0" applyFont="1" applyFill="1" applyBorder="1" applyAlignment="1" applyProtection="1">
      <alignment horizontal="left"/>
    </xf>
    <xf numFmtId="0" fontId="2" fillId="3" borderId="1" xfId="0" applyFont="1" applyFill="1" applyBorder="1" applyAlignment="1" applyProtection="1">
      <alignment horizontal="left" vertical="center"/>
    </xf>
    <xf numFmtId="0" fontId="0" fillId="3" borderId="14" xfId="0" applyFont="1" applyFill="1" applyBorder="1" applyAlignment="1" applyProtection="1">
      <alignment horizontal="left"/>
    </xf>
    <xf numFmtId="0" fontId="0" fillId="3" borderId="15" xfId="0" applyFont="1" applyFill="1" applyBorder="1" applyAlignment="1" applyProtection="1">
      <alignment horizontal="left"/>
    </xf>
    <xf numFmtId="0" fontId="0" fillId="12" borderId="2" xfId="0" applyFont="1" applyFill="1" applyBorder="1" applyAlignment="1" applyProtection="1">
      <alignment horizontal="left"/>
    </xf>
    <xf numFmtId="0" fontId="0" fillId="12" borderId="5" xfId="0" applyFont="1" applyFill="1" applyBorder="1" applyAlignment="1" applyProtection="1">
      <alignment horizontal="left"/>
    </xf>
    <xf numFmtId="0" fontId="0" fillId="12" borderId="3" xfId="0" applyFont="1" applyFill="1" applyBorder="1" applyAlignment="1" applyProtection="1">
      <alignment horizontal="left"/>
    </xf>
    <xf numFmtId="0" fontId="0" fillId="3" borderId="2" xfId="0" applyFont="1" applyFill="1" applyBorder="1" applyAlignment="1" applyProtection="1">
      <alignment horizontal="left"/>
    </xf>
    <xf numFmtId="0" fontId="0" fillId="3" borderId="5" xfId="0" applyFont="1" applyFill="1" applyBorder="1" applyAlignment="1" applyProtection="1">
      <alignment horizontal="left"/>
    </xf>
    <xf numFmtId="0" fontId="0" fillId="3" borderId="3" xfId="0" applyFont="1" applyFill="1" applyBorder="1" applyAlignment="1" applyProtection="1">
      <alignment horizontal="left"/>
    </xf>
    <xf numFmtId="0" fontId="0" fillId="4" borderId="2" xfId="0" applyFont="1" applyFill="1" applyBorder="1" applyAlignment="1" applyProtection="1">
      <alignment horizontal="center" vertical="center"/>
      <protection locked="0"/>
    </xf>
    <xf numFmtId="0" fontId="0" fillId="3" borderId="1" xfId="0" applyFont="1" applyFill="1" applyBorder="1" applyAlignment="1" applyProtection="1">
      <alignment horizontal="left"/>
    </xf>
    <xf numFmtId="0" fontId="0" fillId="12" borderId="1" xfId="0" applyFont="1" applyFill="1" applyBorder="1" applyAlignment="1" applyProtection="1">
      <alignment horizontal="left"/>
    </xf>
    <xf numFmtId="178" fontId="0" fillId="3" borderId="1" xfId="0" applyNumberFormat="1" applyFont="1" applyFill="1" applyBorder="1" applyAlignment="1" applyProtection="1">
      <alignment horizontal="center"/>
      <protection locked="0"/>
    </xf>
    <xf numFmtId="0" fontId="70" fillId="2" borderId="1" xfId="55" applyFont="1" applyFill="1" applyBorder="1" applyAlignment="1" applyProtection="1">
      <alignment horizontal="center" wrapText="1"/>
    </xf>
    <xf numFmtId="0" fontId="71" fillId="2" borderId="59" xfId="55" applyFont="1" applyFill="1" applyBorder="1" applyAlignment="1" applyProtection="1">
      <alignment horizontal="center" wrapText="1"/>
    </xf>
    <xf numFmtId="0" fontId="71" fillId="0" borderId="1" xfId="55" applyFont="1" applyBorder="1" applyAlignment="1" applyProtection="1">
      <alignment horizontal="center" wrapText="1"/>
    </xf>
    <xf numFmtId="0" fontId="71" fillId="0" borderId="59" xfId="55" applyFont="1" applyBorder="1" applyAlignment="1" applyProtection="1">
      <alignment horizontal="center" wrapText="1"/>
    </xf>
    <xf numFmtId="0" fontId="0" fillId="2" borderId="1" xfId="0" applyFill="1" applyBorder="1" applyAlignment="1" applyProtection="1">
      <alignment horizontal="center"/>
    </xf>
    <xf numFmtId="0" fontId="0" fillId="4" borderId="2" xfId="0" applyFont="1" applyFill="1" applyBorder="1" applyAlignment="1" applyProtection="1">
      <alignment vertical="center"/>
      <protection locked="0"/>
    </xf>
    <xf numFmtId="0" fontId="0" fillId="4" borderId="3" xfId="0" applyFont="1" applyFill="1" applyBorder="1" applyAlignment="1" applyProtection="1">
      <alignment vertical="center"/>
      <protection locked="0"/>
    </xf>
    <xf numFmtId="0" fontId="2" fillId="3" borderId="1" xfId="0" applyFont="1" applyFill="1" applyBorder="1" applyAlignment="1" applyProtection="1">
      <alignment horizontal="left"/>
    </xf>
    <xf numFmtId="0" fontId="0" fillId="4" borderId="1" xfId="0" applyFont="1" applyFill="1" applyBorder="1" applyAlignment="1" applyProtection="1">
      <alignment horizontal="center" vertical="center"/>
      <protection locked="0"/>
    </xf>
    <xf numFmtId="183" fontId="4" fillId="2" borderId="2" xfId="0" applyNumberFormat="1" applyFont="1" applyFill="1" applyBorder="1" applyAlignment="1" applyProtection="1">
      <alignment horizontal="left"/>
    </xf>
    <xf numFmtId="183" fontId="4" fillId="2" borderId="3" xfId="0" applyNumberFormat="1" applyFont="1" applyFill="1" applyBorder="1" applyAlignment="1" applyProtection="1">
      <alignment horizontal="left"/>
    </xf>
    <xf numFmtId="0" fontId="0" fillId="12" borderId="1" xfId="0" applyFill="1" applyBorder="1" applyAlignment="1" applyProtection="1">
      <alignment horizontal="left"/>
    </xf>
    <xf numFmtId="0" fontId="22" fillId="2" borderId="6" xfId="0" applyFont="1" applyFill="1" applyBorder="1" applyProtection="1"/>
    <xf numFmtId="0" fontId="0" fillId="3" borderId="1" xfId="0" applyFill="1" applyBorder="1" applyAlignment="1" applyProtection="1">
      <alignment horizontal="left"/>
    </xf>
    <xf numFmtId="0" fontId="0" fillId="2" borderId="10" xfId="0" applyFont="1" applyFill="1" applyBorder="1" applyAlignment="1" applyProtection="1">
      <alignment horizontal="left" vertical="top" wrapText="1"/>
    </xf>
    <xf numFmtId="0" fontId="0" fillId="2" borderId="11" xfId="0" applyFont="1" applyFill="1" applyBorder="1" applyAlignment="1" applyProtection="1">
      <alignment horizontal="left" vertical="top" wrapText="1"/>
    </xf>
    <xf numFmtId="0" fontId="0" fillId="2" borderId="12" xfId="0" applyFont="1" applyFill="1" applyBorder="1" applyAlignment="1" applyProtection="1">
      <alignment horizontal="left" vertical="top" wrapText="1"/>
    </xf>
    <xf numFmtId="0" fontId="0" fillId="2" borderId="7" xfId="0" applyFont="1" applyFill="1" applyBorder="1" applyAlignment="1" applyProtection="1">
      <alignment horizontal="left" vertical="top" wrapText="1"/>
    </xf>
    <xf numFmtId="0" fontId="0" fillId="2" borderId="0" xfId="0" applyFont="1" applyFill="1" applyBorder="1" applyAlignment="1" applyProtection="1">
      <alignment horizontal="left" vertical="top" wrapText="1"/>
    </xf>
    <xf numFmtId="0" fontId="0" fillId="2" borderId="13" xfId="0" applyFont="1" applyFill="1" applyBorder="1" applyAlignment="1" applyProtection="1">
      <alignment horizontal="left" vertical="top" wrapText="1"/>
    </xf>
    <xf numFmtId="0" fontId="0" fillId="2" borderId="14" xfId="0" applyFont="1" applyFill="1" applyBorder="1" applyAlignment="1" applyProtection="1">
      <alignment horizontal="left" vertical="top" wrapText="1"/>
    </xf>
    <xf numFmtId="0" fontId="0" fillId="2" borderId="8" xfId="0" applyFont="1" applyFill="1" applyBorder="1" applyAlignment="1" applyProtection="1">
      <alignment horizontal="left" vertical="top" wrapText="1"/>
    </xf>
    <xf numFmtId="0" fontId="0" fillId="2" borderId="15" xfId="0" applyFont="1" applyFill="1" applyBorder="1" applyAlignment="1" applyProtection="1">
      <alignment horizontal="left" vertical="top" wrapText="1"/>
    </xf>
    <xf numFmtId="186" fontId="2" fillId="2" borderId="1" xfId="0" applyNumberFormat="1" applyFont="1" applyFill="1" applyBorder="1" applyAlignment="1" applyProtection="1">
      <alignment horizontal="center" vertical="center"/>
    </xf>
    <xf numFmtId="0" fontId="0" fillId="2" borderId="1" xfId="0" applyFill="1" applyBorder="1" applyAlignment="1" applyProtection="1">
      <alignment horizontal="center" vertical="center"/>
    </xf>
    <xf numFmtId="3" fontId="0" fillId="3" borderId="6" xfId="0" applyNumberFormat="1" applyFont="1" applyFill="1" applyBorder="1" applyAlignment="1" applyProtection="1">
      <alignment horizontal="center" vertical="center" wrapText="1"/>
    </xf>
    <xf numFmtId="0" fontId="0" fillId="3" borderId="14" xfId="0" applyFont="1" applyFill="1" applyBorder="1" applyAlignment="1" applyProtection="1"/>
    <xf numFmtId="0" fontId="16" fillId="3" borderId="4" xfId="0" applyFont="1" applyFill="1" applyBorder="1" applyAlignment="1" applyProtection="1">
      <alignment horizontal="center"/>
    </xf>
    <xf numFmtId="3" fontId="0" fillId="3" borderId="9" xfId="0" applyNumberFormat="1" applyFont="1" applyFill="1" applyBorder="1" applyAlignment="1" applyProtection="1">
      <alignment horizontal="center" vertical="center" wrapText="1"/>
    </xf>
    <xf numFmtId="0" fontId="0" fillId="3" borderId="2" xfId="0" applyFont="1" applyFill="1" applyBorder="1" applyAlignment="1" applyProtection="1"/>
    <xf numFmtId="0" fontId="16" fillId="3" borderId="1" xfId="0" applyFont="1" applyFill="1" applyBorder="1" applyAlignment="1" applyProtection="1">
      <alignment horizontal="center"/>
    </xf>
    <xf numFmtId="3" fontId="0" fillId="3" borderId="4" xfId="0" applyNumberFormat="1" applyFont="1" applyFill="1" applyBorder="1" applyAlignment="1" applyProtection="1">
      <alignment horizontal="center" vertical="center" wrapText="1"/>
    </xf>
    <xf numFmtId="3" fontId="0" fillId="12" borderId="6" xfId="0" applyNumberFormat="1" applyFont="1" applyFill="1" applyBorder="1" applyAlignment="1" applyProtection="1">
      <alignment horizontal="center" vertical="center" wrapText="1"/>
    </xf>
    <xf numFmtId="0" fontId="0" fillId="12" borderId="2" xfId="0" applyFont="1" applyFill="1" applyBorder="1" applyAlignment="1" applyProtection="1"/>
    <xf numFmtId="0" fontId="16" fillId="12" borderId="1" xfId="0" applyFont="1" applyFill="1" applyBorder="1" applyAlignment="1" applyProtection="1">
      <alignment horizontal="center"/>
    </xf>
    <xf numFmtId="0" fontId="0" fillId="2" borderId="1" xfId="0" applyFont="1" applyFill="1" applyBorder="1" applyAlignment="1" applyProtection="1">
      <alignment horizontal="right"/>
    </xf>
    <xf numFmtId="3" fontId="0" fillId="12" borderId="9" xfId="0" applyNumberFormat="1" applyFont="1" applyFill="1" applyBorder="1" applyAlignment="1" applyProtection="1">
      <alignment horizontal="center" vertical="center" wrapText="1"/>
    </xf>
    <xf numFmtId="3" fontId="0" fillId="12" borderId="4" xfId="0" applyNumberFormat="1" applyFont="1" applyFill="1" applyBorder="1" applyAlignment="1" applyProtection="1">
      <alignment horizontal="center" vertical="center" wrapText="1"/>
    </xf>
    <xf numFmtId="186" fontId="0" fillId="0" borderId="0" xfId="0" applyNumberFormat="1" applyAlignment="1" applyProtection="1">
      <alignment horizontal="center" vertical="center"/>
    </xf>
    <xf numFmtId="187" fontId="22" fillId="2" borderId="1" xfId="0" applyNumberFormat="1" applyFont="1" applyFill="1" applyBorder="1" applyAlignment="1" applyProtection="1">
      <alignment horizontal="center"/>
    </xf>
    <xf numFmtId="186" fontId="0" fillId="0" borderId="0" xfId="0" applyNumberFormat="1" applyAlignment="1" applyProtection="1">
      <alignment horizontal="left" vertical="center"/>
    </xf>
    <xf numFmtId="0" fontId="10" fillId="0" borderId="18" xfId="0" applyFont="1" applyBorder="1" applyAlignment="1" applyProtection="1">
      <alignment horizontal="left" vertical="top" wrapText="1"/>
    </xf>
    <xf numFmtId="0" fontId="10" fillId="0" borderId="19" xfId="0" applyFont="1" applyBorder="1" applyAlignment="1" applyProtection="1">
      <alignment horizontal="left" vertical="top" wrapText="1"/>
    </xf>
    <xf numFmtId="0" fontId="10" fillId="0" borderId="20" xfId="0" applyFont="1" applyBorder="1" applyAlignment="1" applyProtection="1">
      <alignment horizontal="left" vertical="top" wrapText="1"/>
    </xf>
    <xf numFmtId="0" fontId="10" fillId="0" borderId="16" xfId="0" applyFont="1" applyBorder="1" applyAlignment="1" applyProtection="1">
      <alignment horizontal="left" vertical="top" wrapText="1"/>
    </xf>
    <xf numFmtId="0" fontId="10" fillId="0" borderId="0" xfId="0" applyFont="1" applyBorder="1" applyAlignment="1" applyProtection="1">
      <alignment horizontal="left" vertical="top" wrapText="1"/>
    </xf>
    <xf numFmtId="0" fontId="10" fillId="0" borderId="17" xfId="0" applyFont="1" applyBorder="1" applyAlignment="1" applyProtection="1">
      <alignment horizontal="left" vertical="top" wrapText="1"/>
    </xf>
    <xf numFmtId="0" fontId="10" fillId="0" borderId="21" xfId="0" applyFont="1" applyBorder="1" applyAlignment="1" applyProtection="1">
      <alignment horizontal="left" vertical="top" wrapText="1"/>
    </xf>
    <xf numFmtId="0" fontId="10" fillId="0" borderId="22" xfId="0" applyFont="1" applyBorder="1" applyAlignment="1" applyProtection="1">
      <alignment horizontal="left" vertical="top" wrapText="1"/>
    </xf>
    <xf numFmtId="0" fontId="10" fillId="0" borderId="23" xfId="0" applyFont="1" applyBorder="1" applyAlignment="1" applyProtection="1">
      <alignment horizontal="left" vertical="top" wrapText="1"/>
    </xf>
    <xf numFmtId="186" fontId="2" fillId="0" borderId="0" xfId="0" applyNumberFormat="1" applyFont="1" applyAlignment="1" applyProtection="1">
      <alignment horizontal="left" vertical="center"/>
    </xf>
    <xf numFmtId="0" fontId="25" fillId="2" borderId="2" xfId="0" applyFont="1" applyFill="1" applyBorder="1" applyAlignment="1" applyProtection="1">
      <alignment horizontal="center"/>
    </xf>
    <xf numFmtId="0" fontId="25" fillId="2" borderId="3" xfId="0" applyFont="1" applyFill="1" applyBorder="1" applyAlignment="1" applyProtection="1">
      <alignment horizontal="center"/>
    </xf>
    <xf numFmtId="0" fontId="0" fillId="3" borderId="10" xfId="0" applyFont="1" applyFill="1" applyBorder="1" applyAlignment="1" applyProtection="1">
      <alignment horizontal="center" vertical="center"/>
    </xf>
    <xf numFmtId="0" fontId="0" fillId="3" borderId="12" xfId="0" applyFont="1" applyFill="1" applyBorder="1" applyAlignment="1" applyProtection="1">
      <alignment horizontal="center" vertical="center"/>
    </xf>
    <xf numFmtId="0" fontId="0" fillId="3" borderId="10" xfId="0" applyFont="1" applyFill="1" applyBorder="1" applyAlignment="1" applyProtection="1">
      <alignment horizontal="center" vertical="center" wrapText="1"/>
    </xf>
    <xf numFmtId="0" fontId="40" fillId="0" borderId="1" xfId="0" applyFont="1" applyBorder="1" applyAlignment="1" applyProtection="1">
      <alignment horizontal="left" wrapText="1"/>
    </xf>
    <xf numFmtId="0" fontId="0" fillId="3" borderId="7" xfId="0" applyFont="1" applyFill="1" applyBorder="1" applyAlignment="1" applyProtection="1">
      <alignment horizontal="center" vertical="center"/>
    </xf>
    <xf numFmtId="0" fontId="0" fillId="3" borderId="13" xfId="0" applyFont="1" applyFill="1" applyBorder="1" applyAlignment="1" applyProtection="1">
      <alignment horizontal="center" vertical="center"/>
    </xf>
    <xf numFmtId="0" fontId="40" fillId="0" borderId="6" xfId="0" applyFont="1" applyBorder="1" applyAlignment="1" applyProtection="1">
      <alignment horizontal="left" vertical="center" wrapText="1"/>
    </xf>
    <xf numFmtId="0" fontId="0" fillId="3" borderId="14" xfId="0" applyFont="1" applyFill="1" applyBorder="1" applyAlignment="1" applyProtection="1">
      <alignment horizontal="center" vertical="center"/>
    </xf>
    <xf numFmtId="0" fontId="0" fillId="3" borderId="15" xfId="0" applyFont="1" applyFill="1" applyBorder="1" applyAlignment="1" applyProtection="1">
      <alignment horizontal="center" vertical="center"/>
    </xf>
    <xf numFmtId="0" fontId="40" fillId="0" borderId="9" xfId="0" applyFont="1" applyBorder="1" applyAlignment="1" applyProtection="1">
      <alignment horizontal="left" vertical="center" wrapText="1"/>
    </xf>
    <xf numFmtId="0" fontId="0" fillId="12" borderId="2" xfId="0" applyFont="1" applyFill="1" applyBorder="1" applyAlignment="1" applyProtection="1">
      <alignment horizontal="center"/>
    </xf>
    <xf numFmtId="0" fontId="0" fillId="12" borderId="3" xfId="0" applyFont="1" applyFill="1" applyBorder="1" applyAlignment="1" applyProtection="1">
      <alignment horizontal="center"/>
    </xf>
    <xf numFmtId="0" fontId="40" fillId="12" borderId="1" xfId="0" applyFont="1" applyFill="1" applyBorder="1" applyProtection="1"/>
    <xf numFmtId="0" fontId="0" fillId="0" borderId="2" xfId="0" applyBorder="1" applyAlignment="1" applyProtection="1">
      <alignment horizontal="center"/>
    </xf>
    <xf numFmtId="0" fontId="0" fillId="0" borderId="3" xfId="0" applyBorder="1" applyAlignment="1" applyProtection="1">
      <alignment horizontal="center"/>
    </xf>
    <xf numFmtId="0" fontId="0" fillId="12" borderId="2" xfId="0" applyFill="1" applyBorder="1" applyAlignment="1" applyProtection="1">
      <alignment horizontal="center"/>
    </xf>
    <xf numFmtId="0" fontId="0" fillId="12" borderId="3" xfId="0" applyFill="1" applyBorder="1" applyAlignment="1" applyProtection="1">
      <alignment horizontal="center"/>
    </xf>
    <xf numFmtId="0" fontId="40" fillId="0" borderId="4" xfId="0" applyFont="1" applyBorder="1" applyAlignment="1" applyProtection="1">
      <alignment horizontal="left" vertical="center" wrapText="1"/>
    </xf>
    <xf numFmtId="0" fontId="40" fillId="0" borderId="0" xfId="0" applyFont="1" applyBorder="1" applyAlignment="1" applyProtection="1">
      <alignment horizontal="left" vertical="center" wrapText="1"/>
    </xf>
    <xf numFmtId="0" fontId="71" fillId="2" borderId="41" xfId="55" applyFont="1" applyFill="1" applyBorder="1" applyAlignment="1" applyProtection="1">
      <alignment horizontal="center" wrapText="1"/>
    </xf>
    <xf numFmtId="0" fontId="71" fillId="0" borderId="41" xfId="55" applyFont="1" applyBorder="1" applyAlignment="1" applyProtection="1">
      <alignment horizontal="center" wrapText="1"/>
    </xf>
    <xf numFmtId="0" fontId="0" fillId="0" borderId="1" xfId="0" applyBorder="1" applyAlignment="1" applyProtection="1">
      <alignment horizontal="left" vertical="top" wrapText="1"/>
    </xf>
    <xf numFmtId="184" fontId="0" fillId="3" borderId="2" xfId="0" applyNumberFormat="1" applyFill="1" applyBorder="1" applyAlignment="1" applyProtection="1">
      <alignment horizontal="center"/>
      <protection locked="0"/>
    </xf>
    <xf numFmtId="0" fontId="0" fillId="0" borderId="0" xfId="0" applyFill="1" applyBorder="1" applyProtection="1"/>
    <xf numFmtId="0" fontId="0" fillId="3" borderId="2" xfId="0" applyFill="1" applyBorder="1" applyAlignment="1" applyProtection="1">
      <alignment horizontal="center"/>
      <protection locked="0"/>
    </xf>
    <xf numFmtId="0" fontId="0" fillId="0" borderId="0" xfId="0" applyBorder="1" applyAlignment="1" applyProtection="1">
      <alignment vertical="top" wrapText="1"/>
    </xf>
    <xf numFmtId="0" fontId="25" fillId="2" borderId="1" xfId="0" applyFont="1" applyFill="1" applyBorder="1" applyAlignment="1" applyProtection="1">
      <alignment horizontal="left" vertical="center" wrapText="1"/>
    </xf>
    <xf numFmtId="0" fontId="0" fillId="2" borderId="1" xfId="0" applyFill="1" applyBorder="1" applyAlignment="1" applyProtection="1">
      <alignment horizontal="center" vertical="center" wrapText="1"/>
    </xf>
    <xf numFmtId="0" fontId="16" fillId="3" borderId="14" xfId="0" applyFont="1" applyFill="1" applyBorder="1" applyAlignment="1" applyProtection="1">
      <alignment horizontal="center"/>
    </xf>
    <xf numFmtId="0" fontId="16" fillId="3" borderId="2" xfId="0" applyFont="1" applyFill="1" applyBorder="1" applyAlignment="1" applyProtection="1">
      <alignment horizontal="center"/>
    </xf>
    <xf numFmtId="0" fontId="16" fillId="12" borderId="2" xfId="0" applyFont="1" applyFill="1" applyBorder="1" applyAlignment="1" applyProtection="1">
      <alignment horizontal="center"/>
    </xf>
    <xf numFmtId="0" fontId="0" fillId="3" borderId="0" xfId="0" applyFill="1" applyAlignment="1" applyProtection="1">
      <alignment horizontal="center"/>
    </xf>
    <xf numFmtId="0" fontId="0" fillId="3" borderId="0" xfId="0" applyFill="1" applyBorder="1" applyProtection="1"/>
    <xf numFmtId="0" fontId="0" fillId="0" borderId="1" xfId="0" applyBorder="1" applyAlignment="1" applyProtection="1">
      <alignment horizontal="center"/>
    </xf>
    <xf numFmtId="0" fontId="71" fillId="0" borderId="0" xfId="55" applyFont="1" applyAlignment="1" applyProtection="1">
      <alignment horizontal="left" wrapText="1"/>
    </xf>
    <xf numFmtId="0" fontId="72" fillId="0" borderId="8" xfId="0" applyFont="1" applyBorder="1" applyAlignment="1" applyProtection="1">
      <alignment horizontal="center"/>
    </xf>
    <xf numFmtId="0" fontId="0" fillId="0" borderId="2" xfId="0" applyFont="1" applyBorder="1" applyAlignment="1" applyProtection="1">
      <alignment horizontal="center"/>
      <protection locked="0"/>
    </xf>
    <xf numFmtId="0" fontId="73" fillId="4" borderId="1" xfId="0" applyFont="1" applyFill="1" applyBorder="1" applyAlignment="1" applyProtection="1">
      <alignment horizontal="center" vertical="center"/>
      <protection locked="0"/>
    </xf>
    <xf numFmtId="0" fontId="74" fillId="2" borderId="1" xfId="0" applyFont="1" applyFill="1" applyBorder="1" applyAlignment="1" applyProtection="1">
      <alignment horizontal="center" vertical="center"/>
    </xf>
    <xf numFmtId="0" fontId="45" fillId="2" borderId="1" xfId="0" applyFont="1" applyFill="1" applyBorder="1" applyAlignment="1" applyProtection="1">
      <alignment horizontal="center" vertical="center"/>
    </xf>
    <xf numFmtId="0" fontId="75" fillId="2" borderId="1" xfId="0" applyFont="1" applyFill="1" applyBorder="1" applyAlignment="1" applyProtection="1">
      <alignment horizontal="center" vertical="center"/>
    </xf>
    <xf numFmtId="0" fontId="2" fillId="2" borderId="1" xfId="0" applyFont="1" applyFill="1" applyBorder="1" applyAlignment="1" applyProtection="1">
      <alignment horizontal="center" vertical="center"/>
    </xf>
    <xf numFmtId="0" fontId="16" fillId="2" borderId="1" xfId="0" applyNumberFormat="1" applyFont="1" applyFill="1" applyBorder="1" applyAlignment="1" applyProtection="1">
      <alignment horizontal="center"/>
    </xf>
    <xf numFmtId="183" fontId="2" fillId="2" borderId="6" xfId="0" applyNumberFormat="1" applyFont="1" applyFill="1" applyBorder="1" applyAlignment="1" applyProtection="1">
      <alignment horizontal="left" vertical="center" wrapText="1"/>
    </xf>
    <xf numFmtId="183" fontId="2" fillId="2" borderId="1" xfId="0" applyNumberFormat="1" applyFont="1" applyFill="1" applyBorder="1" applyAlignment="1" applyProtection="1">
      <alignment horizontal="center" vertical="center" wrapText="1"/>
    </xf>
    <xf numFmtId="183" fontId="2" fillId="2" borderId="9" xfId="0" applyNumberFormat="1" applyFont="1" applyFill="1" applyBorder="1" applyAlignment="1" applyProtection="1">
      <alignment horizontal="left" vertical="center" wrapText="1"/>
    </xf>
    <xf numFmtId="183" fontId="2" fillId="2" borderId="4" xfId="0" applyNumberFormat="1" applyFont="1" applyFill="1" applyBorder="1" applyAlignment="1" applyProtection="1">
      <alignment horizontal="left" vertical="center" wrapText="1"/>
    </xf>
    <xf numFmtId="183" fontId="2" fillId="2" borderId="1" xfId="0" applyNumberFormat="1" applyFont="1" applyFill="1" applyBorder="1" applyAlignment="1" applyProtection="1">
      <alignment horizontal="left" wrapText="1"/>
    </xf>
    <xf numFmtId="183" fontId="2" fillId="2" borderId="2" xfId="0" applyNumberFormat="1" applyFont="1" applyFill="1" applyBorder="1" applyAlignment="1" applyProtection="1">
      <alignment horizontal="center" wrapText="1"/>
    </xf>
    <xf numFmtId="183" fontId="2" fillId="2" borderId="3" xfId="0" applyNumberFormat="1" applyFont="1" applyFill="1" applyBorder="1" applyAlignment="1" applyProtection="1">
      <alignment horizontal="center" wrapText="1"/>
    </xf>
    <xf numFmtId="0" fontId="0" fillId="3" borderId="2" xfId="0" applyFont="1" applyFill="1" applyBorder="1" applyAlignment="1" applyProtection="1">
      <alignment horizontal="center"/>
    </xf>
    <xf numFmtId="0" fontId="0" fillId="0" borderId="18" xfId="0" applyFont="1" applyBorder="1" applyAlignment="1" applyProtection="1">
      <alignment horizontal="left" vertical="justify" wrapText="1"/>
    </xf>
    <xf numFmtId="0" fontId="0" fillId="0" borderId="19" xfId="0" applyFont="1" applyBorder="1" applyAlignment="1" applyProtection="1">
      <alignment horizontal="left" vertical="justify" wrapText="1"/>
    </xf>
    <xf numFmtId="0" fontId="0" fillId="0" borderId="20" xfId="0" applyFont="1" applyBorder="1" applyAlignment="1" applyProtection="1">
      <alignment horizontal="left" vertical="justify" wrapText="1"/>
    </xf>
    <xf numFmtId="0" fontId="0" fillId="0" borderId="16" xfId="0" applyFont="1" applyBorder="1" applyAlignment="1" applyProtection="1">
      <alignment horizontal="left" vertical="justify" wrapText="1"/>
    </xf>
    <xf numFmtId="0" fontId="0" fillId="0" borderId="17" xfId="0" applyFont="1" applyBorder="1" applyAlignment="1" applyProtection="1">
      <alignment horizontal="left" vertical="justify" wrapText="1"/>
    </xf>
    <xf numFmtId="0" fontId="16" fillId="0" borderId="1" xfId="0" applyFont="1" applyBorder="1" applyAlignment="1" applyProtection="1">
      <alignment horizontal="center" vertical="center"/>
    </xf>
    <xf numFmtId="0" fontId="0" fillId="0" borderId="21" xfId="0" applyFont="1" applyBorder="1" applyAlignment="1" applyProtection="1">
      <alignment horizontal="left" vertical="justify" wrapText="1"/>
    </xf>
    <xf numFmtId="0" fontId="0" fillId="0" borderId="22" xfId="0" applyFont="1" applyBorder="1" applyAlignment="1" applyProtection="1">
      <alignment horizontal="left" vertical="justify" wrapText="1"/>
    </xf>
    <xf numFmtId="0" fontId="0" fillId="0" borderId="23" xfId="0" applyFont="1" applyBorder="1" applyAlignment="1" applyProtection="1">
      <alignment horizontal="left" vertical="justify" wrapText="1"/>
    </xf>
    <xf numFmtId="0" fontId="0" fillId="2" borderId="2" xfId="0" applyFill="1" applyBorder="1" applyAlignment="1" applyProtection="1">
      <alignment horizontal="center" vertical="center"/>
    </xf>
    <xf numFmtId="0" fontId="25" fillId="2" borderId="1" xfId="0" applyFont="1" applyFill="1" applyBorder="1" applyAlignment="1" applyProtection="1">
      <alignment horizontal="center" vertical="center"/>
    </xf>
    <xf numFmtId="185" fontId="0" fillId="2" borderId="1" xfId="0" applyNumberFormat="1" applyFill="1" applyBorder="1" applyAlignment="1" applyProtection="1">
      <alignment horizontal="center" vertical="center"/>
    </xf>
    <xf numFmtId="185" fontId="22" fillId="2" borderId="1" xfId="0" applyNumberFormat="1" applyFont="1" applyFill="1" applyBorder="1" applyAlignment="1" applyProtection="1">
      <alignment horizontal="center" vertical="center"/>
    </xf>
    <xf numFmtId="185" fontId="4" fillId="2" borderId="1" xfId="0" applyNumberFormat="1" applyFont="1" applyFill="1" applyBorder="1" applyAlignment="1" applyProtection="1">
      <alignment horizontal="center" vertical="center"/>
    </xf>
    <xf numFmtId="185" fontId="0" fillId="2" borderId="2" xfId="0" applyNumberFormat="1" applyFill="1" applyBorder="1" applyAlignment="1" applyProtection="1">
      <alignment horizontal="center" vertical="center"/>
    </xf>
    <xf numFmtId="185" fontId="16" fillId="2" borderId="1" xfId="0" applyNumberFormat="1" applyFont="1" applyFill="1" applyBorder="1" applyAlignment="1" applyProtection="1">
      <alignment horizontal="center" vertical="center"/>
    </xf>
    <xf numFmtId="0" fontId="19" fillId="0" borderId="4" xfId="0" applyFont="1" applyBorder="1" applyAlignment="1" applyProtection="1">
      <alignment horizontal="center" vertical="center"/>
      <protection locked="0"/>
    </xf>
    <xf numFmtId="185" fontId="16" fillId="2" borderId="4" xfId="0" applyNumberFormat="1" applyFont="1" applyFill="1" applyBorder="1" applyAlignment="1" applyProtection="1">
      <alignment horizontal="center" vertical="center"/>
    </xf>
    <xf numFmtId="0" fontId="19" fillId="0" borderId="1" xfId="0" applyFont="1" applyBorder="1" applyAlignment="1" applyProtection="1">
      <alignment horizontal="center" vertical="center"/>
      <protection locked="0"/>
    </xf>
    <xf numFmtId="0" fontId="76" fillId="2" borderId="1" xfId="13" applyFont="1" applyFill="1" applyBorder="1" applyAlignment="1">
      <alignment horizontal="center" vertical="center"/>
    </xf>
    <xf numFmtId="0" fontId="10" fillId="2" borderId="1" xfId="13" applyFill="1" applyBorder="1" applyAlignment="1">
      <alignment horizontal="center" vertical="center"/>
    </xf>
    <xf numFmtId="0" fontId="10" fillId="2" borderId="1" xfId="13" applyFill="1" applyBorder="1" applyAlignment="1">
      <alignment horizontal="center" vertical="center" wrapText="1"/>
    </xf>
    <xf numFmtId="58" fontId="16" fillId="0" borderId="1" xfId="0" applyNumberFormat="1" applyFont="1" applyBorder="1" applyAlignment="1" applyProtection="1">
      <alignment horizontal="center"/>
    </xf>
    <xf numFmtId="0" fontId="77" fillId="2" borderId="1" xfId="13" applyFont="1" applyFill="1" applyBorder="1" applyAlignment="1">
      <alignment horizontal="center" vertical="center" shrinkToFit="1"/>
    </xf>
    <xf numFmtId="0" fontId="0" fillId="3" borderId="5" xfId="0" applyFont="1" applyFill="1" applyBorder="1" applyAlignment="1" applyProtection="1">
      <alignment horizontal="center"/>
    </xf>
    <xf numFmtId="0" fontId="0" fillId="3" borderId="3" xfId="0" applyFont="1" applyFill="1" applyBorder="1" applyAlignment="1" applyProtection="1">
      <alignment horizontal="center"/>
    </xf>
    <xf numFmtId="0" fontId="78" fillId="0" borderId="0" xfId="13" applyFont="1" applyBorder="1" applyAlignment="1">
      <alignment vertical="center"/>
    </xf>
    <xf numFmtId="185" fontId="4" fillId="2" borderId="4" xfId="0" applyNumberFormat="1" applyFont="1" applyFill="1" applyBorder="1" applyAlignment="1" applyProtection="1">
      <alignment horizontal="center" vertical="center"/>
    </xf>
    <xf numFmtId="0" fontId="10" fillId="0" borderId="0" xfId="0" applyFont="1" applyAlignment="1" applyProtection="1">
      <alignment horizontal="left"/>
    </xf>
    <xf numFmtId="0" fontId="10" fillId="0" borderId="0" xfId="0" applyFont="1" applyProtection="1"/>
    <xf numFmtId="0" fontId="79" fillId="0" borderId="8" xfId="0" applyFont="1" applyBorder="1" applyAlignment="1" applyProtection="1">
      <alignment horizontal="center" vertical="center"/>
    </xf>
    <xf numFmtId="0" fontId="10" fillId="0" borderId="0" xfId="0" applyFont="1" applyAlignment="1" applyProtection="1">
      <alignment vertical="center"/>
    </xf>
    <xf numFmtId="0" fontId="80" fillId="2" borderId="2" xfId="0" applyFont="1" applyFill="1" applyBorder="1" applyAlignment="1" applyProtection="1">
      <alignment horizontal="center" vertical="center"/>
    </xf>
    <xf numFmtId="0" fontId="78" fillId="2" borderId="5" xfId="0" applyFont="1" applyFill="1" applyBorder="1" applyAlignment="1" applyProtection="1">
      <alignment horizontal="center" vertical="center"/>
    </xf>
    <xf numFmtId="0" fontId="78" fillId="2" borderId="3" xfId="0" applyFont="1" applyFill="1" applyBorder="1" applyAlignment="1" applyProtection="1">
      <alignment horizontal="center" vertical="center"/>
    </xf>
    <xf numFmtId="0" fontId="81" fillId="0" borderId="0" xfId="0" applyFont="1" applyProtection="1"/>
    <xf numFmtId="0" fontId="10" fillId="2" borderId="1" xfId="0" applyFont="1" applyFill="1" applyBorder="1" applyAlignment="1" applyProtection="1">
      <alignment horizontal="left"/>
    </xf>
    <xf numFmtId="0" fontId="10" fillId="0" borderId="1" xfId="0" applyFont="1" applyBorder="1" applyAlignment="1" applyProtection="1">
      <alignment vertical="center" wrapText="1"/>
    </xf>
    <xf numFmtId="0" fontId="10" fillId="0" borderId="1" xfId="0" applyFont="1" applyBorder="1" applyAlignment="1" applyProtection="1"/>
    <xf numFmtId="0" fontId="10" fillId="2" borderId="6" xfId="0" applyFont="1" applyFill="1" applyBorder="1" applyAlignment="1" applyProtection="1">
      <alignment horizontal="center" vertical="center" wrapText="1"/>
    </xf>
    <xf numFmtId="0" fontId="10" fillId="4" borderId="1" xfId="0" applyFont="1" applyFill="1" applyBorder="1" applyAlignment="1" applyProtection="1">
      <alignment horizontal="center"/>
      <protection locked="0"/>
    </xf>
    <xf numFmtId="0" fontId="10" fillId="0" borderId="1" xfId="0" applyFont="1" applyBorder="1" applyAlignment="1" applyProtection="1">
      <alignment horizontal="left"/>
    </xf>
    <xf numFmtId="0" fontId="10" fillId="0" borderId="1" xfId="0" applyFont="1" applyBorder="1" applyAlignment="1" applyProtection="1">
      <alignment horizontal="center"/>
    </xf>
    <xf numFmtId="0" fontId="10" fillId="2" borderId="9" xfId="0" applyFont="1" applyFill="1" applyBorder="1" applyAlignment="1" applyProtection="1">
      <alignment horizontal="center" vertical="center" wrapText="1"/>
    </xf>
    <xf numFmtId="0" fontId="10" fillId="0" borderId="1" xfId="0" applyFont="1" applyBorder="1" applyAlignment="1" applyProtection="1">
      <alignment horizontal="center"/>
      <protection locked="0"/>
    </xf>
    <xf numFmtId="0" fontId="10" fillId="2" borderId="4" xfId="0" applyFont="1" applyFill="1" applyBorder="1" applyAlignment="1" applyProtection="1">
      <alignment horizontal="center" vertical="center" wrapText="1"/>
    </xf>
    <xf numFmtId="0" fontId="10" fillId="3" borderId="1" xfId="0" applyFont="1" applyFill="1" applyBorder="1" applyAlignment="1" applyProtection="1">
      <alignment horizontal="center"/>
      <protection locked="0"/>
    </xf>
    <xf numFmtId="0" fontId="10" fillId="2" borderId="2" xfId="0" applyFont="1" applyFill="1" applyBorder="1" applyAlignment="1" applyProtection="1">
      <alignment horizontal="left"/>
    </xf>
    <xf numFmtId="0" fontId="10" fillId="2" borderId="3" xfId="0" applyFont="1" applyFill="1" applyBorder="1" applyAlignment="1" applyProtection="1">
      <alignment horizontal="left"/>
    </xf>
    <xf numFmtId="183" fontId="10" fillId="4" borderId="1" xfId="0" applyNumberFormat="1" applyFont="1" applyFill="1" applyBorder="1" applyAlignment="1" applyProtection="1">
      <alignment horizontal="center"/>
      <protection locked="0"/>
    </xf>
    <xf numFmtId="0" fontId="10" fillId="0" borderId="0" xfId="0" applyFont="1" applyBorder="1" applyAlignment="1" applyProtection="1">
      <alignment horizontal="left"/>
    </xf>
    <xf numFmtId="183" fontId="10" fillId="2" borderId="1" xfId="0" applyNumberFormat="1" applyFont="1" applyFill="1" applyBorder="1" applyAlignment="1" applyProtection="1">
      <alignment horizontal="center"/>
    </xf>
    <xf numFmtId="183" fontId="10" fillId="0" borderId="1" xfId="0" applyNumberFormat="1" applyFont="1" applyFill="1" applyBorder="1" applyAlignment="1" applyProtection="1">
      <alignment horizontal="center"/>
      <protection locked="0"/>
    </xf>
    <xf numFmtId="178" fontId="10" fillId="0" borderId="1" xfId="0" applyNumberFormat="1" applyFont="1" applyFill="1" applyBorder="1" applyAlignment="1" applyProtection="1">
      <alignment horizontal="center"/>
      <protection locked="0"/>
    </xf>
    <xf numFmtId="0" fontId="10" fillId="0" borderId="1" xfId="0" applyFont="1" applyBorder="1" applyAlignment="1" applyProtection="1">
      <alignment horizontal="center" vertical="center"/>
    </xf>
    <xf numFmtId="0" fontId="82" fillId="0" borderId="1" xfId="0" applyFont="1" applyBorder="1" applyAlignment="1" applyProtection="1">
      <alignment horizontal="left" vertical="top" wrapText="1"/>
    </xf>
    <xf numFmtId="178" fontId="10" fillId="2" borderId="1" xfId="0" applyNumberFormat="1" applyFont="1" applyFill="1" applyBorder="1" applyAlignment="1" applyProtection="1">
      <alignment horizontal="center"/>
    </xf>
    <xf numFmtId="0" fontId="10" fillId="0" borderId="1" xfId="0" applyFont="1" applyFill="1" applyBorder="1" applyAlignment="1" applyProtection="1">
      <alignment horizontal="center"/>
      <protection locked="0"/>
    </xf>
    <xf numFmtId="0" fontId="10" fillId="2" borderId="1" xfId="0" applyFont="1" applyFill="1" applyBorder="1" applyAlignment="1" applyProtection="1">
      <alignment vertical="center" wrapText="1"/>
    </xf>
    <xf numFmtId="0" fontId="10" fillId="0" borderId="25" xfId="0" applyFont="1" applyBorder="1" applyProtection="1"/>
    <xf numFmtId="0" fontId="10" fillId="0" borderId="25" xfId="0" applyFont="1" applyBorder="1" applyAlignment="1" applyProtection="1">
      <alignment horizontal="left"/>
    </xf>
    <xf numFmtId="177" fontId="10" fillId="2" borderId="1" xfId="0" applyNumberFormat="1" applyFont="1" applyFill="1" applyBorder="1" applyAlignment="1" applyProtection="1">
      <alignment horizontal="left"/>
    </xf>
    <xf numFmtId="0" fontId="10" fillId="0" borderId="4" xfId="0" applyFont="1" applyBorder="1" applyAlignment="1" applyProtection="1">
      <alignment wrapText="1"/>
    </xf>
    <xf numFmtId="0" fontId="10" fillId="0" borderId="4" xfId="0" applyFont="1" applyBorder="1" applyAlignment="1" applyProtection="1">
      <alignment horizontal="center"/>
    </xf>
    <xf numFmtId="0" fontId="10" fillId="2" borderId="2" xfId="0" applyFont="1" applyFill="1" applyBorder="1" applyAlignment="1" applyProtection="1">
      <alignment horizontal="left" vertical="center" wrapText="1"/>
    </xf>
    <xf numFmtId="0" fontId="10" fillId="2" borderId="3" xfId="0" applyFont="1" applyFill="1" applyBorder="1" applyAlignment="1" applyProtection="1">
      <alignment horizontal="left" vertical="center" wrapText="1"/>
    </xf>
    <xf numFmtId="0" fontId="10" fillId="2" borderId="5" xfId="0" applyFont="1" applyFill="1" applyBorder="1" applyAlignment="1" applyProtection="1">
      <alignment horizontal="left"/>
    </xf>
    <xf numFmtId="0" fontId="83" fillId="2" borderId="1" xfId="0" applyFont="1" applyFill="1" applyBorder="1" applyAlignment="1" applyProtection="1">
      <alignment horizontal="left"/>
    </xf>
    <xf numFmtId="11" fontId="10" fillId="2" borderId="1" xfId="0" applyNumberFormat="1" applyFont="1" applyFill="1" applyBorder="1" applyAlignment="1" applyProtection="1">
      <alignment horizontal="center"/>
    </xf>
    <xf numFmtId="0" fontId="10" fillId="0" borderId="1" xfId="0" applyFont="1" applyBorder="1" applyAlignment="1" applyProtection="1">
      <alignment wrapText="1"/>
    </xf>
    <xf numFmtId="0" fontId="10" fillId="0" borderId="1" xfId="0" applyFont="1" applyBorder="1" applyProtection="1"/>
    <xf numFmtId="0" fontId="82" fillId="2" borderId="1" xfId="0" applyFont="1" applyFill="1" applyBorder="1" applyAlignment="1" applyProtection="1">
      <alignment horizontal="left"/>
    </xf>
    <xf numFmtId="0" fontId="10" fillId="2" borderId="2" xfId="0" applyFont="1" applyFill="1" applyBorder="1" applyAlignment="1" applyProtection="1"/>
    <xf numFmtId="0" fontId="10" fillId="2" borderId="3" xfId="0" applyFont="1" applyFill="1" applyBorder="1" applyAlignment="1" applyProtection="1"/>
    <xf numFmtId="0" fontId="10" fillId="0" borderId="0" xfId="0" applyFont="1" applyAlignment="1" applyProtection="1">
      <alignment horizontal="center"/>
      <protection locked="0"/>
    </xf>
    <xf numFmtId="0" fontId="77" fillId="2" borderId="2" xfId="0" applyFont="1" applyFill="1" applyBorder="1" applyAlignment="1" applyProtection="1">
      <alignment horizontal="right"/>
    </xf>
    <xf numFmtId="0" fontId="77" fillId="2" borderId="5" xfId="0" applyFont="1" applyFill="1" applyBorder="1" applyAlignment="1" applyProtection="1">
      <alignment horizontal="right"/>
    </xf>
    <xf numFmtId="188" fontId="77" fillId="2" borderId="5" xfId="0" applyNumberFormat="1" applyFont="1" applyFill="1" applyBorder="1" applyAlignment="1" applyProtection="1">
      <alignment horizontal="left"/>
    </xf>
    <xf numFmtId="188" fontId="77" fillId="2" borderId="3" xfId="0" applyNumberFormat="1" applyFont="1" applyFill="1" applyBorder="1" applyAlignment="1" applyProtection="1">
      <alignment horizontal="left"/>
    </xf>
    <xf numFmtId="0" fontId="10" fillId="2" borderId="6" xfId="0" applyFont="1" applyFill="1" applyBorder="1" applyAlignment="1" applyProtection="1">
      <alignment vertical="center"/>
    </xf>
    <xf numFmtId="0" fontId="10" fillId="2" borderId="1" xfId="0" applyFont="1" applyFill="1" applyBorder="1" applyAlignment="1" applyProtection="1"/>
    <xf numFmtId="0" fontId="10" fillId="2" borderId="9" xfId="0" applyFont="1" applyFill="1" applyBorder="1" applyAlignment="1" applyProtection="1">
      <alignment vertical="center"/>
    </xf>
    <xf numFmtId="0" fontId="0" fillId="0" borderId="0" xfId="0" applyBorder="1" applyAlignment="1" applyProtection="1">
      <alignment vertical="center"/>
    </xf>
    <xf numFmtId="0" fontId="81" fillId="2" borderId="1" xfId="0" applyFont="1" applyFill="1" applyBorder="1" applyAlignment="1" applyProtection="1">
      <alignment horizontal="center"/>
    </xf>
    <xf numFmtId="0" fontId="10" fillId="2" borderId="4" xfId="0" applyFont="1" applyFill="1" applyBorder="1" applyAlignment="1" applyProtection="1">
      <alignment vertical="center"/>
    </xf>
    <xf numFmtId="0" fontId="77" fillId="2" borderId="2" xfId="0" applyFont="1" applyFill="1" applyBorder="1" applyAlignment="1" applyProtection="1">
      <alignment horizontal="center"/>
    </xf>
    <xf numFmtId="0" fontId="77" fillId="2" borderId="5" xfId="0" applyFont="1" applyFill="1" applyBorder="1" applyAlignment="1" applyProtection="1">
      <alignment horizontal="center"/>
    </xf>
    <xf numFmtId="0" fontId="77" fillId="2" borderId="3" xfId="0" applyFont="1" applyFill="1" applyBorder="1" applyAlignment="1" applyProtection="1">
      <alignment horizontal="center"/>
    </xf>
    <xf numFmtId="0" fontId="10" fillId="0" borderId="2" xfId="0" applyFont="1" applyBorder="1" applyAlignment="1" applyProtection="1">
      <alignment horizontal="center"/>
    </xf>
    <xf numFmtId="0" fontId="10" fillId="2" borderId="6" xfId="0" applyFont="1" applyFill="1" applyBorder="1" applyAlignment="1" applyProtection="1">
      <alignment horizontal="left" vertical="center"/>
    </xf>
    <xf numFmtId="0" fontId="10" fillId="2" borderId="9" xfId="0" applyFont="1" applyFill="1" applyBorder="1" applyAlignment="1" applyProtection="1">
      <alignment horizontal="left" vertical="center"/>
    </xf>
    <xf numFmtId="0" fontId="10" fillId="2" borderId="1" xfId="0" applyFont="1" applyFill="1" applyBorder="1" applyAlignment="1" applyProtection="1">
      <alignment horizontal="center"/>
    </xf>
    <xf numFmtId="0" fontId="10" fillId="2" borderId="6" xfId="0" applyFont="1" applyFill="1" applyBorder="1" applyAlignment="1" applyProtection="1">
      <alignment horizontal="left" vertical="top" wrapText="1"/>
    </xf>
    <xf numFmtId="0" fontId="10" fillId="0" borderId="0" xfId="0" applyFont="1" applyFill="1" applyProtection="1"/>
    <xf numFmtId="0" fontId="0" fillId="0" borderId="1" xfId="0" applyBorder="1" applyAlignment="1" applyProtection="1">
      <alignment horizontal="left" vertical="top"/>
    </xf>
    <xf numFmtId="185" fontId="10" fillId="2" borderId="1" xfId="0" applyNumberFormat="1" applyFont="1" applyFill="1" applyBorder="1" applyAlignment="1" applyProtection="1">
      <alignment horizontal="center"/>
    </xf>
    <xf numFmtId="0" fontId="10" fillId="2" borderId="4" xfId="0" applyFont="1" applyFill="1" applyBorder="1" applyAlignment="1" applyProtection="1">
      <alignment horizontal="left" vertical="top" wrapText="1"/>
    </xf>
    <xf numFmtId="0" fontId="0" fillId="0" borderId="1" xfId="0" applyBorder="1" applyAlignment="1" applyProtection="1">
      <alignment horizontal="left" vertical="center"/>
    </xf>
    <xf numFmtId="0" fontId="10" fillId="0" borderId="1" xfId="0" applyFont="1" applyBorder="1" applyAlignment="1" applyProtection="1">
      <alignment horizontal="center" wrapText="1"/>
    </xf>
    <xf numFmtId="0" fontId="10" fillId="2" borderId="4" xfId="0" applyFont="1" applyFill="1" applyBorder="1" applyAlignment="1" applyProtection="1">
      <alignment horizontal="left" vertical="center"/>
    </xf>
    <xf numFmtId="0" fontId="10" fillId="2" borderId="1" xfId="0" applyFont="1" applyFill="1" applyBorder="1" applyAlignment="1" applyProtection="1">
      <alignment horizontal="left" vertical="center"/>
    </xf>
    <xf numFmtId="183" fontId="81" fillId="2" borderId="1" xfId="0" applyNumberFormat="1" applyFont="1" applyFill="1" applyBorder="1" applyAlignment="1" applyProtection="1">
      <alignment horizontal="center"/>
    </xf>
    <xf numFmtId="0" fontId="10" fillId="0" borderId="14" xfId="0" applyFont="1" applyBorder="1" applyAlignment="1" applyProtection="1">
      <alignment horizontal="center"/>
    </xf>
    <xf numFmtId="0" fontId="10" fillId="0" borderId="8" xfId="0" applyFont="1" applyBorder="1" applyAlignment="1" applyProtection="1">
      <alignment horizontal="center"/>
    </xf>
    <xf numFmtId="0" fontId="10" fillId="0" borderId="15" xfId="0" applyFont="1" applyBorder="1" applyAlignment="1" applyProtection="1">
      <alignment horizontal="center"/>
    </xf>
    <xf numFmtId="0" fontId="80" fillId="2" borderId="5" xfId="0" applyFont="1" applyFill="1" applyBorder="1" applyAlignment="1" applyProtection="1">
      <alignment horizontal="center" vertical="center"/>
    </xf>
    <xf numFmtId="0" fontId="80" fillId="2" borderId="3" xfId="0" applyFont="1" applyFill="1" applyBorder="1" applyAlignment="1" applyProtection="1">
      <alignment horizontal="center" vertical="center"/>
    </xf>
    <xf numFmtId="0" fontId="10" fillId="2" borderId="1" xfId="0" applyFont="1" applyFill="1" applyBorder="1" applyAlignment="1" applyProtection="1">
      <alignment horizontal="center" wrapText="1"/>
    </xf>
    <xf numFmtId="0" fontId="77" fillId="0" borderId="6" xfId="0" applyFont="1" applyBorder="1" applyAlignment="1" applyProtection="1">
      <alignment horizontal="center" vertical="center"/>
    </xf>
    <xf numFmtId="176" fontId="77" fillId="2" borderId="1" xfId="0" applyNumberFormat="1" applyFont="1" applyFill="1" applyBorder="1" applyAlignment="1" applyProtection="1">
      <alignment horizontal="center" vertical="center"/>
    </xf>
    <xf numFmtId="49" fontId="10" fillId="0" borderId="1" xfId="0" applyNumberFormat="1" applyFont="1" applyBorder="1" applyAlignment="1" applyProtection="1">
      <alignment horizontal="center" vertical="center"/>
    </xf>
    <xf numFmtId="0" fontId="77" fillId="0" borderId="4" xfId="0" applyFont="1" applyBorder="1" applyAlignment="1" applyProtection="1">
      <alignment horizontal="center" vertical="center"/>
    </xf>
    <xf numFmtId="0" fontId="77" fillId="0" borderId="9" xfId="0" applyFont="1" applyBorder="1" applyAlignment="1" applyProtection="1">
      <alignment horizontal="center" vertical="center"/>
    </xf>
    <xf numFmtId="0" fontId="10" fillId="2" borderId="6" xfId="0" applyFont="1" applyFill="1" applyBorder="1" applyAlignment="1" applyProtection="1">
      <alignment horizontal="left"/>
    </xf>
    <xf numFmtId="0" fontId="77" fillId="0" borderId="1" xfId="0" applyFont="1" applyBorder="1" applyAlignment="1" applyProtection="1">
      <alignment horizontal="center" vertical="center"/>
    </xf>
    <xf numFmtId="183" fontId="78" fillId="2" borderId="1" xfId="0" applyNumberFormat="1" applyFont="1" applyFill="1" applyBorder="1" applyAlignment="1" applyProtection="1">
      <alignment horizontal="center"/>
    </xf>
    <xf numFmtId="0" fontId="77" fillId="2" borderId="1" xfId="0" applyFont="1" applyFill="1" applyBorder="1" applyAlignment="1" applyProtection="1">
      <alignment horizontal="center" vertical="center"/>
    </xf>
    <xf numFmtId="177" fontId="10" fillId="2" borderId="1" xfId="0" applyNumberFormat="1" applyFont="1" applyFill="1" applyBorder="1" applyAlignment="1" applyProtection="1">
      <alignment horizontal="center"/>
    </xf>
    <xf numFmtId="0" fontId="10" fillId="2" borderId="1" xfId="0" applyFont="1" applyFill="1" applyBorder="1" applyProtection="1"/>
    <xf numFmtId="176" fontId="84" fillId="2" borderId="1" xfId="0" applyNumberFormat="1" applyFont="1" applyFill="1" applyBorder="1" applyAlignment="1" applyProtection="1">
      <alignment horizontal="center" vertical="center"/>
    </xf>
    <xf numFmtId="0" fontId="10" fillId="0" borderId="0" xfId="0" applyFont="1" applyBorder="1" applyAlignment="1" applyProtection="1">
      <alignment horizontal="left" vertical="top"/>
    </xf>
    <xf numFmtId="0" fontId="10" fillId="0" borderId="4" xfId="0" applyFont="1" applyBorder="1" applyAlignment="1" applyProtection="1"/>
    <xf numFmtId="0" fontId="85" fillId="0" borderId="0" xfId="0" applyFont="1" applyAlignment="1" applyProtection="1">
      <alignment horizontal="center"/>
    </xf>
    <xf numFmtId="0" fontId="10" fillId="0" borderId="6" xfId="0" applyFont="1" applyBorder="1" applyAlignment="1" applyProtection="1">
      <alignment horizontal="center"/>
    </xf>
    <xf numFmtId="0" fontId="10" fillId="0" borderId="9" xfId="0" applyFont="1" applyBorder="1" applyAlignment="1" applyProtection="1">
      <alignment horizontal="center"/>
    </xf>
    <xf numFmtId="0" fontId="10" fillId="0" borderId="5" xfId="0" applyFont="1" applyBorder="1" applyAlignment="1" applyProtection="1">
      <alignment horizontal="center"/>
    </xf>
    <xf numFmtId="0" fontId="10" fillId="0" borderId="3" xfId="0" applyFont="1" applyBorder="1" applyAlignment="1" applyProtection="1">
      <alignment horizontal="center"/>
    </xf>
    <xf numFmtId="0" fontId="10" fillId="0" borderId="1" xfId="0" applyFont="1" applyBorder="1" applyAlignment="1" applyProtection="1">
      <alignment horizontal="left" wrapText="1"/>
    </xf>
    <xf numFmtId="0" fontId="10" fillId="0" borderId="7" xfId="0" applyFont="1" applyBorder="1" applyAlignment="1" applyProtection="1">
      <alignment horizontal="left" vertical="top" wrapText="1"/>
    </xf>
    <xf numFmtId="0" fontId="10" fillId="2" borderId="6" xfId="0" applyFont="1" applyFill="1" applyBorder="1" applyAlignment="1" applyProtection="1">
      <alignment horizontal="center" vertical="center"/>
    </xf>
    <xf numFmtId="0" fontId="10" fillId="0" borderId="6" xfId="0" applyFont="1" applyBorder="1" applyAlignment="1" applyProtection="1">
      <alignment horizontal="center" vertical="center"/>
    </xf>
    <xf numFmtId="0" fontId="81" fillId="0" borderId="6" xfId="0" applyFont="1" applyBorder="1" applyAlignment="1" applyProtection="1">
      <alignment horizontal="center" vertical="center"/>
    </xf>
    <xf numFmtId="0" fontId="78" fillId="0" borderId="6" xfId="0" applyFont="1" applyBorder="1" applyAlignment="1" applyProtection="1">
      <alignment horizontal="center" vertical="center"/>
    </xf>
    <xf numFmtId="185" fontId="78" fillId="0" borderId="6" xfId="0" applyNumberFormat="1" applyFont="1" applyBorder="1" applyAlignment="1" applyProtection="1">
      <alignment horizontal="center" vertical="center"/>
    </xf>
    <xf numFmtId="0" fontId="10" fillId="0" borderId="0" xfId="0" applyFont="1" applyAlignment="1" applyProtection="1">
      <alignment horizontal="center" vertical="center"/>
    </xf>
    <xf numFmtId="0" fontId="10" fillId="2" borderId="4" xfId="0" applyFont="1" applyFill="1" applyBorder="1" applyAlignment="1" applyProtection="1">
      <alignment horizontal="center" vertical="center"/>
    </xf>
    <xf numFmtId="0" fontId="10" fillId="0" borderId="4" xfId="0" applyFont="1" applyBorder="1" applyAlignment="1" applyProtection="1">
      <alignment horizontal="center" vertical="center"/>
    </xf>
    <xf numFmtId="0" fontId="81" fillId="0" borderId="4" xfId="0" applyFont="1" applyBorder="1" applyAlignment="1" applyProtection="1">
      <alignment horizontal="center" vertical="center"/>
    </xf>
    <xf numFmtId="0" fontId="78" fillId="0" borderId="4" xfId="0" applyFont="1" applyBorder="1" applyAlignment="1" applyProtection="1">
      <alignment horizontal="center" vertical="center"/>
    </xf>
    <xf numFmtId="185" fontId="78" fillId="0" borderId="4" xfId="0" applyNumberFormat="1" applyFont="1" applyBorder="1" applyAlignment="1" applyProtection="1">
      <alignment horizontal="center" vertical="center"/>
    </xf>
    <xf numFmtId="0" fontId="10" fillId="2" borderId="1" xfId="0" applyFont="1" applyFill="1" applyBorder="1" applyAlignment="1" applyProtection="1">
      <alignment horizontal="center" vertical="center"/>
    </xf>
    <xf numFmtId="0" fontId="86" fillId="0" borderId="1" xfId="0" applyFont="1" applyBorder="1" applyAlignment="1" applyProtection="1">
      <alignment horizontal="center" vertical="center"/>
    </xf>
    <xf numFmtId="185" fontId="86" fillId="0" borderId="1" xfId="0" applyNumberFormat="1" applyFont="1" applyBorder="1" applyAlignment="1" applyProtection="1">
      <alignment horizontal="center" vertical="center"/>
    </xf>
    <xf numFmtId="0" fontId="81" fillId="0" borderId="9" xfId="0" applyFont="1" applyBorder="1" applyAlignment="1" applyProtection="1">
      <alignment horizontal="center" vertical="center"/>
    </xf>
    <xf numFmtId="0" fontId="81" fillId="0" borderId="1" xfId="0" applyFont="1" applyBorder="1" applyAlignment="1" applyProtection="1">
      <alignment horizontal="center" vertical="center"/>
    </xf>
    <xf numFmtId="0" fontId="78" fillId="0" borderId="1" xfId="0" applyFont="1" applyBorder="1" applyAlignment="1" applyProtection="1">
      <alignment horizontal="center" vertical="center"/>
    </xf>
    <xf numFmtId="185" fontId="78" fillId="0" borderId="1" xfId="0" applyNumberFormat="1" applyFont="1" applyBorder="1" applyAlignment="1" applyProtection="1">
      <alignment horizontal="center" vertical="center"/>
    </xf>
    <xf numFmtId="189" fontId="81" fillId="2" borderId="1" xfId="0" applyNumberFormat="1" applyFont="1" applyFill="1" applyBorder="1" applyAlignment="1" applyProtection="1">
      <alignment horizontal="center"/>
    </xf>
    <xf numFmtId="0" fontId="77" fillId="2" borderId="1" xfId="0" applyFont="1" applyFill="1" applyBorder="1" applyAlignment="1" applyProtection="1">
      <alignment horizontal="center"/>
    </xf>
    <xf numFmtId="183" fontId="10" fillId="3" borderId="1" xfId="0" applyNumberFormat="1" applyFont="1" applyFill="1" applyBorder="1" applyAlignment="1" applyProtection="1">
      <alignment horizontal="center"/>
      <protection locked="0"/>
    </xf>
    <xf numFmtId="0" fontId="82" fillId="2" borderId="1" xfId="0" applyFont="1" applyFill="1" applyBorder="1" applyProtection="1"/>
    <xf numFmtId="176" fontId="77" fillId="2" borderId="1" xfId="0" applyNumberFormat="1" applyFont="1" applyFill="1" applyBorder="1" applyAlignment="1" applyProtection="1">
      <alignment horizontal="center" vertical="center" wrapText="1"/>
    </xf>
    <xf numFmtId="49" fontId="10" fillId="0" borderId="1" xfId="0" applyNumberFormat="1" applyFont="1" applyBorder="1" applyAlignment="1" applyProtection="1">
      <alignment horizontal="center" vertical="center" wrapText="1"/>
    </xf>
    <xf numFmtId="0" fontId="87" fillId="0" borderId="11" xfId="0" applyFont="1" applyBorder="1" applyAlignment="1" applyProtection="1">
      <alignment horizontal="left" vertical="top" wrapText="1" readingOrder="1"/>
    </xf>
    <xf numFmtId="0" fontId="87" fillId="0" borderId="11" xfId="0" applyFont="1" applyBorder="1" applyAlignment="1" applyProtection="1">
      <alignment horizontal="left" vertical="top" readingOrder="1"/>
    </xf>
    <xf numFmtId="176" fontId="84" fillId="2" borderId="1" xfId="0" applyNumberFormat="1" applyFont="1" applyFill="1" applyBorder="1" applyAlignment="1" applyProtection="1">
      <alignment horizontal="center" vertical="center" wrapText="1"/>
    </xf>
    <xf numFmtId="0" fontId="87" fillId="0" borderId="0" xfId="0" applyFont="1" applyBorder="1" applyAlignment="1" applyProtection="1">
      <alignment horizontal="left" vertical="top" readingOrder="1"/>
    </xf>
    <xf numFmtId="49" fontId="77" fillId="2" borderId="1" xfId="0" applyNumberFormat="1" applyFont="1" applyFill="1" applyBorder="1" applyAlignment="1" applyProtection="1">
      <alignment horizontal="center"/>
    </xf>
    <xf numFmtId="49" fontId="10" fillId="0" borderId="1" xfId="0" applyNumberFormat="1" applyFont="1" applyBorder="1" applyAlignment="1" applyProtection="1">
      <alignment horizontal="center"/>
    </xf>
    <xf numFmtId="49" fontId="84" fillId="2" borderId="1" xfId="0" applyNumberFormat="1" applyFont="1" applyFill="1" applyBorder="1" applyAlignment="1" applyProtection="1">
      <alignment horizontal="center"/>
    </xf>
    <xf numFmtId="0" fontId="10" fillId="0" borderId="0" xfId="0" applyFont="1" applyAlignment="1" applyProtection="1">
      <alignment wrapText="1"/>
    </xf>
    <xf numFmtId="0" fontId="10" fillId="0" borderId="0" xfId="0" applyFont="1" applyAlignment="1" applyProtection="1"/>
    <xf numFmtId="0" fontId="10" fillId="0" borderId="1" xfId="0" applyFont="1" applyBorder="1" applyAlignment="1" applyProtection="1">
      <alignment horizontal="left" vertical="center" wrapText="1"/>
    </xf>
    <xf numFmtId="0" fontId="10" fillId="0" borderId="1" xfId="0" applyFont="1" applyBorder="1" applyAlignment="1" applyProtection="1">
      <alignment horizontal="center" vertical="center" wrapText="1"/>
    </xf>
    <xf numFmtId="0" fontId="77" fillId="0" borderId="0" xfId="0" applyFont="1" applyBorder="1" applyAlignment="1" applyProtection="1">
      <alignment horizontal="left" vertical="center"/>
    </xf>
    <xf numFmtId="49" fontId="77" fillId="0" borderId="0" xfId="0" applyNumberFormat="1" applyFont="1" applyFill="1" applyBorder="1" applyAlignment="1" applyProtection="1">
      <alignment horizontal="center"/>
    </xf>
    <xf numFmtId="49" fontId="10" fillId="0" borderId="0" xfId="0" applyNumberFormat="1" applyFont="1" applyBorder="1" applyAlignment="1" applyProtection="1">
      <alignment horizontal="center"/>
    </xf>
    <xf numFmtId="0" fontId="0" fillId="0" borderId="1" xfId="0" applyBorder="1" applyAlignment="1" applyProtection="1">
      <alignment horizontal="center" vertical="center"/>
    </xf>
    <xf numFmtId="0" fontId="10" fillId="0" borderId="0" xfId="0" applyFont="1" applyAlignment="1" applyProtection="1">
      <alignment horizontal="center"/>
    </xf>
    <xf numFmtId="176" fontId="10" fillId="0" borderId="0" xfId="0" applyNumberFormat="1" applyFont="1" applyProtection="1"/>
    <xf numFmtId="0" fontId="88" fillId="0" borderId="0" xfId="0" applyFont="1" applyProtection="1"/>
    <xf numFmtId="0" fontId="10" fillId="0" borderId="0" xfId="0" applyFont="1" applyBorder="1" applyProtection="1"/>
    <xf numFmtId="0" fontId="2" fillId="0" borderId="1" xfId="0" applyFont="1" applyBorder="1" applyAlignment="1" applyProtection="1">
      <alignment horizontal="center" vertical="center"/>
    </xf>
    <xf numFmtId="0" fontId="0" fillId="0" borderId="11" xfId="0" applyBorder="1" applyAlignment="1" applyProtection="1">
      <alignment horizontal="left" vertical="center" wrapText="1"/>
    </xf>
    <xf numFmtId="185" fontId="10" fillId="2" borderId="1" xfId="0" applyNumberFormat="1" applyFont="1" applyFill="1" applyBorder="1" applyProtection="1"/>
    <xf numFmtId="185" fontId="10" fillId="0" borderId="1" xfId="0" applyNumberFormat="1" applyFont="1" applyBorder="1" applyProtection="1"/>
    <xf numFmtId="185" fontId="78" fillId="0" borderId="1" xfId="0" applyNumberFormat="1" applyFont="1" applyBorder="1" applyProtection="1"/>
    <xf numFmtId="0" fontId="0" fillId="0" borderId="0" xfId="0" applyBorder="1" applyAlignment="1" applyProtection="1">
      <alignment horizontal="left" vertical="center" wrapText="1"/>
    </xf>
    <xf numFmtId="0" fontId="10" fillId="0" borderId="18" xfId="0" applyFont="1" applyBorder="1" applyAlignment="1" applyProtection="1">
      <alignment horizontal="left" vertical="center" wrapText="1"/>
    </xf>
    <xf numFmtId="0" fontId="10" fillId="0" borderId="19" xfId="0" applyFont="1" applyBorder="1" applyAlignment="1" applyProtection="1">
      <alignment horizontal="left" vertical="center" wrapText="1"/>
    </xf>
    <xf numFmtId="0" fontId="10" fillId="0" borderId="20" xfId="0" applyFont="1" applyBorder="1" applyAlignment="1" applyProtection="1">
      <alignment horizontal="left" vertical="center" wrapText="1"/>
    </xf>
    <xf numFmtId="0" fontId="10" fillId="0" borderId="16" xfId="0" applyFont="1" applyBorder="1" applyAlignment="1" applyProtection="1">
      <alignment horizontal="left" vertical="center" wrapText="1"/>
    </xf>
    <xf numFmtId="0" fontId="10" fillId="0" borderId="0" xfId="0" applyFont="1" applyBorder="1" applyAlignment="1" applyProtection="1">
      <alignment horizontal="left" vertical="center" wrapText="1"/>
    </xf>
    <xf numFmtId="0" fontId="10" fillId="0" borderId="17" xfId="0" applyFont="1" applyBorder="1" applyAlignment="1" applyProtection="1">
      <alignment horizontal="left" vertical="center" wrapText="1"/>
    </xf>
    <xf numFmtId="0" fontId="10" fillId="0" borderId="21" xfId="0" applyFont="1" applyBorder="1" applyAlignment="1" applyProtection="1">
      <alignment horizontal="left" vertical="center" wrapText="1"/>
    </xf>
    <xf numFmtId="0" fontId="10" fillId="0" borderId="22" xfId="0" applyFont="1" applyBorder="1" applyAlignment="1" applyProtection="1">
      <alignment horizontal="left" vertical="center" wrapText="1"/>
    </xf>
    <xf numFmtId="0" fontId="10" fillId="0" borderId="23" xfId="0" applyFont="1" applyBorder="1" applyAlignment="1" applyProtection="1">
      <alignment horizontal="left" vertical="center" wrapText="1"/>
    </xf>
    <xf numFmtId="49" fontId="10" fillId="0" borderId="1" xfId="0" applyNumberFormat="1" applyFont="1" applyBorder="1" applyAlignment="1" applyProtection="1">
      <alignment horizontal="center" wrapText="1"/>
    </xf>
    <xf numFmtId="0" fontId="10" fillId="0" borderId="0" xfId="0" applyFont="1" applyBorder="1" applyAlignment="1" applyProtection="1">
      <alignment horizontal="center" vertical="center"/>
    </xf>
    <xf numFmtId="0" fontId="81" fillId="0" borderId="0" xfId="0" applyFont="1" applyBorder="1" applyAlignment="1" applyProtection="1">
      <alignment horizontal="center" vertical="center"/>
    </xf>
    <xf numFmtId="185" fontId="86" fillId="0" borderId="0" xfId="0" applyNumberFormat="1" applyFont="1" applyBorder="1" applyAlignment="1" applyProtection="1">
      <alignment horizontal="center" vertical="center"/>
    </xf>
    <xf numFmtId="0" fontId="10" fillId="0" borderId="0" xfId="0" applyFont="1" applyAlignment="1" applyProtection="1">
      <alignment horizontal="left" wrapText="1"/>
    </xf>
    <xf numFmtId="0" fontId="82" fillId="0" borderId="1" xfId="0" applyFont="1" applyBorder="1" applyProtection="1"/>
    <xf numFmtId="0" fontId="10" fillId="0" borderId="0" xfId="0" applyFont="1" applyBorder="1" applyAlignment="1" applyProtection="1">
      <alignment horizontal="center"/>
    </xf>
    <xf numFmtId="0" fontId="10" fillId="2" borderId="6" xfId="0" applyFont="1" applyFill="1" applyBorder="1" applyAlignment="1" applyProtection="1">
      <alignment horizontal="left" vertical="center" wrapText="1"/>
    </xf>
    <xf numFmtId="0" fontId="10" fillId="2" borderId="9" xfId="0" applyFont="1" applyFill="1" applyBorder="1" applyAlignment="1" applyProtection="1">
      <alignment horizontal="left" vertical="center" wrapText="1"/>
    </xf>
    <xf numFmtId="183" fontId="10" fillId="4" borderId="1" xfId="0" applyNumberFormat="1" applyFont="1" applyFill="1" applyBorder="1" applyAlignment="1" applyProtection="1">
      <alignment horizontal="left"/>
      <protection locked="0"/>
    </xf>
    <xf numFmtId="0" fontId="81" fillId="2" borderId="1" xfId="0" applyFont="1" applyFill="1" applyBorder="1" applyProtection="1"/>
    <xf numFmtId="183" fontId="10" fillId="2" borderId="1" xfId="0" applyNumberFormat="1" applyFont="1" applyFill="1" applyBorder="1" applyAlignment="1" applyProtection="1">
      <alignment horizontal="left" vertical="center"/>
    </xf>
    <xf numFmtId="190" fontId="10" fillId="0" borderId="1" xfId="0" applyNumberFormat="1" applyFont="1" applyBorder="1" applyAlignment="1" applyProtection="1">
      <alignment horizontal="center"/>
      <protection locked="0"/>
    </xf>
    <xf numFmtId="0" fontId="81" fillId="2" borderId="2" xfId="0" applyFont="1" applyFill="1" applyBorder="1" applyAlignment="1" applyProtection="1">
      <alignment horizontal="center"/>
    </xf>
    <xf numFmtId="0" fontId="81" fillId="2" borderId="5" xfId="0" applyFont="1" applyFill="1" applyBorder="1" applyAlignment="1" applyProtection="1">
      <alignment horizontal="center"/>
    </xf>
    <xf numFmtId="0" fontId="81" fillId="2" borderId="3" xfId="0" applyFont="1" applyFill="1" applyBorder="1" applyAlignment="1" applyProtection="1">
      <alignment horizontal="center"/>
    </xf>
    <xf numFmtId="0" fontId="10" fillId="2" borderId="1" xfId="0" applyFont="1" applyFill="1" applyBorder="1" applyAlignment="1" applyProtection="1">
      <alignment horizontal="left" wrapText="1"/>
    </xf>
    <xf numFmtId="189" fontId="10" fillId="2" borderId="1" xfId="0" applyNumberFormat="1" applyFont="1" applyFill="1" applyBorder="1" applyAlignment="1" applyProtection="1">
      <alignment horizontal="center"/>
    </xf>
    <xf numFmtId="188" fontId="77" fillId="2" borderId="1" xfId="0" applyNumberFormat="1" applyFont="1" applyFill="1" applyBorder="1" applyAlignment="1" applyProtection="1">
      <alignment horizontal="left"/>
    </xf>
    <xf numFmtId="11" fontId="10" fillId="2" borderId="1" xfId="0" applyNumberFormat="1" applyFont="1" applyFill="1" applyBorder="1" applyAlignment="1" applyProtection="1">
      <alignment horizontal="left"/>
    </xf>
    <xf numFmtId="0" fontId="10" fillId="0" borderId="1" xfId="0" applyFont="1" applyBorder="1" applyAlignment="1" applyProtection="1">
      <alignment horizontal="left"/>
      <protection locked="0"/>
    </xf>
    <xf numFmtId="0" fontId="10" fillId="2" borderId="1" xfId="0" applyFont="1" applyFill="1" applyBorder="1" applyAlignment="1" applyProtection="1">
      <alignment horizontal="left"/>
      <protection locked="0"/>
    </xf>
    <xf numFmtId="0" fontId="10" fillId="2" borderId="2" xfId="0" applyFont="1" applyFill="1" applyBorder="1" applyAlignment="1" applyProtection="1">
      <alignment horizontal="center"/>
    </xf>
    <xf numFmtId="0" fontId="10" fillId="2" borderId="3" xfId="0" applyFont="1" applyFill="1" applyBorder="1" applyAlignment="1" applyProtection="1">
      <alignment horizontal="center"/>
    </xf>
    <xf numFmtId="177" fontId="81" fillId="2" borderId="1" xfId="0" applyNumberFormat="1" applyFont="1" applyFill="1" applyBorder="1" applyAlignment="1" applyProtection="1">
      <alignment horizontal="left"/>
    </xf>
    <xf numFmtId="188" fontId="81" fillId="2" borderId="1" xfId="0" applyNumberFormat="1" applyFont="1" applyFill="1" applyBorder="1" applyAlignment="1" applyProtection="1">
      <alignment horizontal="left"/>
    </xf>
    <xf numFmtId="0" fontId="10" fillId="0" borderId="1" xfId="0" applyFont="1" applyBorder="1" applyAlignment="1" applyProtection="1">
      <alignment horizontal="left" vertical="center"/>
    </xf>
    <xf numFmtId="0" fontId="10" fillId="0" borderId="1" xfId="0" applyFont="1" applyBorder="1" applyAlignment="1" applyProtection="1">
      <alignment horizontal="right" wrapText="1"/>
    </xf>
    <xf numFmtId="0" fontId="10" fillId="0" borderId="1" xfId="0" applyFont="1" applyBorder="1" applyAlignment="1" applyProtection="1">
      <alignment horizontal="right"/>
    </xf>
    <xf numFmtId="0" fontId="10" fillId="0" borderId="6" xfId="0" applyFont="1" applyBorder="1" applyAlignment="1" applyProtection="1">
      <alignment horizontal="left" vertical="center"/>
    </xf>
    <xf numFmtId="0" fontId="10" fillId="0" borderId="6" xfId="0" applyFont="1" applyBorder="1" applyAlignment="1" applyProtection="1">
      <alignment horizontal="right"/>
    </xf>
    <xf numFmtId="0" fontId="10" fillId="0" borderId="11" xfId="0" applyFont="1" applyBorder="1" applyAlignment="1" applyProtection="1">
      <alignment horizontal="left"/>
    </xf>
    <xf numFmtId="0" fontId="10" fillId="0" borderId="0" xfId="0" applyFont="1" applyBorder="1" applyAlignment="1" applyProtection="1">
      <alignment horizontal="right"/>
    </xf>
    <xf numFmtId="0" fontId="10" fillId="0" borderId="0" xfId="0" applyFont="1" applyBorder="1" applyAlignment="1" applyProtection="1"/>
    <xf numFmtId="0" fontId="10" fillId="0" borderId="30" xfId="0" applyFont="1" applyBorder="1" applyAlignment="1" applyProtection="1">
      <alignment horizontal="left"/>
    </xf>
    <xf numFmtId="0" fontId="10" fillId="0" borderId="32" xfId="0" applyFont="1" applyBorder="1" applyAlignment="1" applyProtection="1">
      <alignment horizontal="left"/>
    </xf>
    <xf numFmtId="0" fontId="10" fillId="0" borderId="33" xfId="0" applyFont="1" applyBorder="1" applyAlignment="1" applyProtection="1">
      <alignment horizontal="left"/>
    </xf>
    <xf numFmtId="0" fontId="10" fillId="0" borderId="3" xfId="0" applyFont="1" applyBorder="1" applyAlignment="1" applyProtection="1">
      <alignment horizontal="right"/>
    </xf>
    <xf numFmtId="183" fontId="82" fillId="4" borderId="1" xfId="0" applyNumberFormat="1" applyFont="1" applyFill="1" applyBorder="1" applyAlignment="1" applyProtection="1">
      <alignment horizontal="left" vertical="center"/>
      <protection locked="0"/>
    </xf>
    <xf numFmtId="0" fontId="10" fillId="2" borderId="2" xfId="0" applyFont="1" applyFill="1" applyBorder="1" applyAlignment="1" applyProtection="1">
      <alignment horizontal="left" vertical="center"/>
    </xf>
    <xf numFmtId="0" fontId="10" fillId="2" borderId="3" xfId="0" applyFont="1" applyFill="1" applyBorder="1" applyAlignment="1" applyProtection="1">
      <alignment horizontal="left" vertical="center"/>
    </xf>
    <xf numFmtId="0" fontId="10" fillId="0" borderId="6" xfId="0" applyFont="1" applyBorder="1" applyAlignment="1" applyProtection="1">
      <alignment horizontal="left" vertical="center" wrapText="1"/>
    </xf>
    <xf numFmtId="0" fontId="10" fillId="0" borderId="12" xfId="0" applyFont="1" applyBorder="1" applyAlignment="1" applyProtection="1">
      <alignment horizontal="left" vertical="center" wrapText="1"/>
    </xf>
    <xf numFmtId="0" fontId="10" fillId="0" borderId="9" xfId="0" applyFont="1" applyBorder="1" applyAlignment="1" applyProtection="1">
      <alignment horizontal="left" vertical="center" wrapText="1"/>
    </xf>
    <xf numFmtId="0" fontId="10" fillId="0" borderId="15" xfId="0" applyFont="1" applyBorder="1" applyAlignment="1" applyProtection="1">
      <alignment wrapText="1"/>
    </xf>
    <xf numFmtId="0" fontId="0" fillId="0" borderId="4" xfId="0" applyBorder="1" applyAlignment="1" applyProtection="1">
      <alignment vertical="center"/>
    </xf>
    <xf numFmtId="0" fontId="10" fillId="0" borderId="3" xfId="0" applyFont="1" applyBorder="1" applyAlignment="1" applyProtection="1">
      <alignment horizontal="left"/>
    </xf>
    <xf numFmtId="0" fontId="77" fillId="2" borderId="3" xfId="0" applyFont="1" applyFill="1" applyBorder="1" applyAlignment="1" applyProtection="1">
      <alignment horizontal="left"/>
    </xf>
    <xf numFmtId="183" fontId="10" fillId="2" borderId="1" xfId="0" applyNumberFormat="1" applyFont="1" applyFill="1" applyBorder="1" applyAlignment="1" applyProtection="1">
      <alignment horizontal="left"/>
    </xf>
    <xf numFmtId="0" fontId="10" fillId="0" borderId="6" xfId="0" applyFont="1" applyBorder="1" applyAlignment="1" applyProtection="1">
      <alignment vertical="center" wrapText="1"/>
    </xf>
    <xf numFmtId="0" fontId="10" fillId="0" borderId="4" xfId="0" applyFont="1" applyBorder="1" applyAlignment="1" applyProtection="1">
      <alignment vertical="top" wrapText="1"/>
    </xf>
    <xf numFmtId="0" fontId="89" fillId="0" borderId="0" xfId="0" applyFont="1" applyAlignment="1" applyProtection="1">
      <alignment horizontal="left" vertical="center" wrapText="1"/>
    </xf>
    <xf numFmtId="0" fontId="10" fillId="13" borderId="0" xfId="0" applyFont="1" applyFill="1" applyAlignment="1" applyProtection="1">
      <alignment horizontal="left" vertical="top" wrapText="1"/>
    </xf>
    <xf numFmtId="0" fontId="10" fillId="13" borderId="0" xfId="0" applyFont="1" applyFill="1" applyProtection="1"/>
    <xf numFmtId="0" fontId="10" fillId="0" borderId="26" xfId="0" applyFont="1" applyBorder="1" applyProtection="1"/>
    <xf numFmtId="0" fontId="10" fillId="0" borderId="26" xfId="0" applyFont="1" applyBorder="1" applyAlignment="1" applyProtection="1">
      <alignment horizontal="left"/>
    </xf>
    <xf numFmtId="0" fontId="10" fillId="0" borderId="30" xfId="0" applyFont="1" applyBorder="1" applyProtection="1"/>
    <xf numFmtId="0" fontId="10" fillId="0" borderId="28" xfId="0" applyFont="1" applyBorder="1" applyProtection="1"/>
    <xf numFmtId="0" fontId="10" fillId="0" borderId="28" xfId="0" applyFont="1" applyBorder="1" applyAlignment="1" applyProtection="1">
      <alignment horizontal="left"/>
    </xf>
    <xf numFmtId="0" fontId="10" fillId="0" borderId="32" xfId="0" applyFont="1" applyBorder="1" applyProtection="1"/>
    <xf numFmtId="0" fontId="10" fillId="0" borderId="29" xfId="0" applyFont="1" applyBorder="1" applyProtection="1"/>
    <xf numFmtId="0" fontId="10" fillId="0" borderId="29" xfId="0" applyFont="1" applyBorder="1" applyAlignment="1" applyProtection="1">
      <alignment horizontal="left"/>
    </xf>
    <xf numFmtId="0" fontId="10" fillId="0" borderId="33" xfId="0" applyFont="1" applyBorder="1" applyProtection="1"/>
    <xf numFmtId="0" fontId="10" fillId="2" borderId="26" xfId="0" applyFont="1" applyFill="1" applyBorder="1" applyAlignment="1" applyProtection="1">
      <alignment horizontal="left"/>
    </xf>
    <xf numFmtId="0" fontId="10" fillId="0" borderId="27" xfId="0" applyFont="1" applyBorder="1" applyAlignment="1" applyProtection="1">
      <alignment horizontal="left"/>
    </xf>
    <xf numFmtId="0" fontId="10" fillId="2" borderId="28" xfId="0" applyFont="1" applyFill="1" applyBorder="1" applyAlignment="1" applyProtection="1">
      <alignment horizontal="left"/>
    </xf>
    <xf numFmtId="183" fontId="10" fillId="0" borderId="1" xfId="0" applyNumberFormat="1" applyFont="1" applyBorder="1" applyAlignment="1" applyProtection="1">
      <alignment horizontal="left"/>
    </xf>
    <xf numFmtId="183" fontId="10" fillId="0" borderId="32" xfId="0" applyNumberFormat="1" applyFont="1" applyBorder="1" applyAlignment="1" applyProtection="1">
      <alignment horizontal="left"/>
    </xf>
    <xf numFmtId="0" fontId="10" fillId="2" borderId="29" xfId="0" applyFont="1" applyFill="1" applyBorder="1" applyAlignment="1" applyProtection="1">
      <alignment horizontal="left"/>
    </xf>
    <xf numFmtId="183" fontId="10" fillId="0" borderId="25" xfId="0" applyNumberFormat="1" applyFont="1" applyBorder="1" applyAlignment="1" applyProtection="1">
      <alignment horizontal="left"/>
    </xf>
    <xf numFmtId="183" fontId="10" fillId="0" borderId="33" xfId="0" applyNumberFormat="1" applyFont="1" applyBorder="1" applyAlignment="1" applyProtection="1">
      <alignment horizontal="left"/>
    </xf>
    <xf numFmtId="0" fontId="10" fillId="0" borderId="2" xfId="0" applyFont="1" applyBorder="1" applyAlignment="1" applyProtection="1">
      <alignment horizontal="right"/>
    </xf>
    <xf numFmtId="0" fontId="10" fillId="0" borderId="2" xfId="0" applyFont="1" applyBorder="1" applyAlignment="1" applyProtection="1">
      <alignment horizontal="right" vertical="top"/>
    </xf>
    <xf numFmtId="0" fontId="10" fillId="0" borderId="3" xfId="0" applyFont="1" applyBorder="1" applyAlignment="1" applyProtection="1">
      <alignment horizontal="right" vertical="top"/>
    </xf>
    <xf numFmtId="0" fontId="10" fillId="0" borderId="2" xfId="0" applyFont="1" applyBorder="1" applyAlignment="1" applyProtection="1">
      <alignment horizontal="right" wrapText="1"/>
    </xf>
    <xf numFmtId="0" fontId="10" fillId="0" borderId="3" xfId="0" applyFont="1" applyBorder="1" applyAlignment="1" applyProtection="1">
      <alignment horizontal="right" wrapText="1"/>
    </xf>
    <xf numFmtId="0" fontId="90" fillId="0" borderId="10" xfId="0" applyFont="1" applyBorder="1" applyAlignment="1" applyProtection="1">
      <alignment horizontal="left" wrapText="1"/>
    </xf>
    <xf numFmtId="0" fontId="90" fillId="0" borderId="11" xfId="0" applyFont="1" applyBorder="1" applyAlignment="1" applyProtection="1">
      <alignment horizontal="left" wrapText="1"/>
    </xf>
    <xf numFmtId="0" fontId="90" fillId="0" borderId="12" xfId="0" applyFont="1" applyBorder="1" applyAlignment="1" applyProtection="1">
      <alignment horizontal="left" wrapText="1"/>
    </xf>
    <xf numFmtId="0" fontId="2" fillId="14" borderId="1" xfId="0" applyFont="1" applyFill="1" applyBorder="1" applyAlignment="1" applyProtection="1">
      <alignment horizontal="center" wrapText="1"/>
    </xf>
    <xf numFmtId="0" fontId="0" fillId="14" borderId="1" xfId="0" applyFill="1" applyBorder="1" applyAlignment="1" applyProtection="1">
      <alignment horizontal="center"/>
    </xf>
    <xf numFmtId="0" fontId="90" fillId="0" borderId="14" xfId="0" applyFont="1" applyBorder="1" applyAlignment="1" applyProtection="1">
      <alignment horizontal="left" wrapText="1"/>
    </xf>
    <xf numFmtId="0" fontId="90" fillId="0" borderId="8" xfId="0" applyFont="1" applyBorder="1" applyAlignment="1" applyProtection="1">
      <alignment horizontal="left" wrapText="1"/>
    </xf>
    <xf numFmtId="0" fontId="90" fillId="0" borderId="15" xfId="0" applyFont="1" applyBorder="1" applyAlignment="1" applyProtection="1">
      <alignment horizontal="left" wrapText="1"/>
    </xf>
    <xf numFmtId="0" fontId="0" fillId="14" borderId="1" xfId="0" applyFill="1" applyBorder="1" applyProtection="1"/>
    <xf numFmtId="0" fontId="0" fillId="0" borderId="7" xfId="0" applyFont="1" applyBorder="1" applyAlignment="1" applyProtection="1">
      <alignment horizontal="center"/>
    </xf>
    <xf numFmtId="0" fontId="2" fillId="14" borderId="1" xfId="0" applyFont="1" applyFill="1" applyBorder="1" applyAlignment="1" applyProtection="1">
      <alignment horizontal="center"/>
    </xf>
    <xf numFmtId="0" fontId="2" fillId="14" borderId="1" xfId="0" applyFont="1" applyFill="1" applyBorder="1" applyAlignment="1" applyProtection="1">
      <alignment horizontal="left"/>
    </xf>
    <xf numFmtId="0" fontId="2" fillId="2" borderId="12" xfId="0" applyFont="1" applyFill="1" applyBorder="1" applyAlignment="1" applyProtection="1">
      <alignment horizontal="left" vertical="center"/>
    </xf>
    <xf numFmtId="0" fontId="6" fillId="2" borderId="1" xfId="0" applyFont="1" applyFill="1" applyBorder="1" applyProtection="1"/>
    <xf numFmtId="183" fontId="16" fillId="2" borderId="2" xfId="0" applyNumberFormat="1" applyFont="1" applyFill="1" applyBorder="1" applyAlignment="1" applyProtection="1">
      <alignment horizontal="center"/>
    </xf>
    <xf numFmtId="0" fontId="0" fillId="2" borderId="15" xfId="0" applyFill="1" applyBorder="1" applyAlignment="1" applyProtection="1">
      <alignment horizontal="left" vertical="center"/>
    </xf>
    <xf numFmtId="0" fontId="0" fillId="4" borderId="2" xfId="0" applyFont="1" applyFill="1" applyBorder="1" applyAlignment="1" applyProtection="1">
      <alignment horizontal="center"/>
      <protection locked="0"/>
    </xf>
    <xf numFmtId="0" fontId="0" fillId="2" borderId="4" xfId="0" applyFont="1" applyFill="1" applyBorder="1" applyAlignment="1" applyProtection="1">
      <alignment horizontal="center"/>
    </xf>
    <xf numFmtId="0" fontId="0" fillId="14" borderId="1" xfId="0" applyFill="1" applyBorder="1" applyAlignment="1" applyProtection="1">
      <alignment horizontal="left"/>
    </xf>
    <xf numFmtId="0" fontId="7" fillId="0" borderId="1" xfId="20" applyFont="1" applyBorder="1" applyAlignment="1" applyProtection="1">
      <alignment horizontal="center" vertical="center"/>
    </xf>
    <xf numFmtId="0" fontId="7" fillId="0" borderId="6" xfId="20" applyFont="1" applyBorder="1" applyAlignment="1" applyProtection="1">
      <alignment horizontal="center" vertical="center"/>
    </xf>
    <xf numFmtId="0" fontId="7" fillId="0" borderId="4" xfId="20" applyFont="1" applyBorder="1" applyAlignment="1" applyProtection="1">
      <alignment horizontal="center" vertical="center"/>
    </xf>
    <xf numFmtId="185" fontId="7" fillId="0" borderId="1" xfId="20" applyNumberFormat="1" applyFont="1" applyBorder="1" applyAlignment="1" applyProtection="1">
      <alignment horizontal="center" vertical="center"/>
    </xf>
    <xf numFmtId="0" fontId="7" fillId="0" borderId="9" xfId="20" applyFont="1" applyBorder="1" applyAlignment="1" applyProtection="1">
      <alignment horizontal="center" vertical="center"/>
    </xf>
    <xf numFmtId="0" fontId="91" fillId="3" borderId="1" xfId="0" applyNumberFormat="1" applyFont="1" applyFill="1" applyBorder="1" applyAlignment="1" applyProtection="1">
      <alignment horizontal="center"/>
      <protection locked="0"/>
    </xf>
    <xf numFmtId="0" fontId="2" fillId="2" borderId="4" xfId="0" applyFont="1" applyFill="1" applyBorder="1" applyAlignment="1" applyProtection="1">
      <alignment horizontal="left"/>
    </xf>
    <xf numFmtId="0" fontId="7" fillId="0" borderId="6" xfId="20" applyFont="1" applyBorder="1" applyAlignment="1" applyProtection="1">
      <alignment horizontal="center" vertical="center" wrapText="1"/>
    </xf>
    <xf numFmtId="0" fontId="7" fillId="0" borderId="9" xfId="20" applyFont="1" applyBorder="1" applyAlignment="1" applyProtection="1">
      <alignment horizontal="center" vertical="center" wrapText="1"/>
    </xf>
    <xf numFmtId="179" fontId="0" fillId="2" borderId="6" xfId="0" applyNumberFormat="1" applyFont="1" applyFill="1" applyBorder="1" applyAlignment="1" applyProtection="1">
      <alignment horizontal="left" vertical="center"/>
    </xf>
    <xf numFmtId="179" fontId="0" fillId="2" borderId="4" xfId="0" applyNumberFormat="1" applyFont="1" applyFill="1" applyBorder="1" applyAlignment="1" applyProtection="1">
      <alignment horizontal="left" vertical="center"/>
    </xf>
    <xf numFmtId="0" fontId="6" fillId="2" borderId="3" xfId="0" applyFont="1" applyFill="1" applyBorder="1" applyProtection="1"/>
    <xf numFmtId="0" fontId="7" fillId="0" borderId="4" xfId="20" applyFont="1" applyBorder="1" applyAlignment="1" applyProtection="1">
      <alignment horizontal="center" vertical="center" wrapText="1"/>
    </xf>
    <xf numFmtId="0" fontId="7" fillId="0" borderId="2" xfId="20" applyFont="1" applyBorder="1" applyAlignment="1" applyProtection="1">
      <alignment horizontal="left" vertical="center"/>
    </xf>
    <xf numFmtId="0" fontId="7" fillId="0" borderId="2" xfId="20" applyFont="1" applyBorder="1" applyAlignment="1" applyProtection="1">
      <alignment vertical="center"/>
    </xf>
    <xf numFmtId="0" fontId="92" fillId="0" borderId="1" xfId="20" applyFont="1" applyBorder="1" applyAlignment="1" applyProtection="1">
      <alignment horizontal="center" vertical="center"/>
    </xf>
    <xf numFmtId="0" fontId="7" fillId="0" borderId="1" xfId="20" applyFont="1" applyBorder="1" applyAlignment="1" applyProtection="1">
      <alignment horizontal="left" vertical="center"/>
    </xf>
    <xf numFmtId="0" fontId="34" fillId="2" borderId="1" xfId="0" applyFont="1" applyFill="1" applyBorder="1" applyAlignment="1" applyProtection="1">
      <alignment horizontal="left"/>
    </xf>
    <xf numFmtId="0" fontId="6" fillId="2" borderId="1" xfId="0" applyFont="1" applyFill="1" applyBorder="1" applyAlignment="1" applyProtection="1">
      <alignment horizontal="left"/>
    </xf>
    <xf numFmtId="0" fontId="2" fillId="0" borderId="0" xfId="0" applyFont="1" applyBorder="1" applyAlignment="1" applyProtection="1">
      <alignment horizontal="left"/>
    </xf>
    <xf numFmtId="0" fontId="0" fillId="0" borderId="0" xfId="0" applyAlignment="1" applyProtection="1">
      <alignment horizontal="right"/>
    </xf>
    <xf numFmtId="0" fontId="21" fillId="2" borderId="6" xfId="0" applyFont="1" applyFill="1" applyBorder="1" applyAlignment="1" applyProtection="1">
      <alignment horizontal="left" vertical="center"/>
    </xf>
    <xf numFmtId="0" fontId="21" fillId="2" borderId="9" xfId="0" applyFont="1" applyFill="1" applyBorder="1" applyAlignment="1" applyProtection="1">
      <alignment horizontal="left" vertical="center"/>
    </xf>
    <xf numFmtId="0" fontId="21" fillId="2" borderId="4" xfId="0" applyFont="1" applyFill="1" applyBorder="1" applyAlignment="1" applyProtection="1">
      <alignment horizontal="left" vertical="center"/>
    </xf>
    <xf numFmtId="179" fontId="18" fillId="2" borderId="1" xfId="0" applyNumberFormat="1" applyFont="1" applyFill="1" applyBorder="1" applyAlignment="1" applyProtection="1">
      <alignment horizontal="center"/>
    </xf>
    <xf numFmtId="0" fontId="52" fillId="2" borderId="4" xfId="0" applyFont="1" applyFill="1" applyBorder="1" applyAlignment="1" applyProtection="1">
      <alignment horizontal="left" vertical="center"/>
    </xf>
    <xf numFmtId="183" fontId="0" fillId="2" borderId="1" xfId="0" applyNumberFormat="1" applyFont="1" applyFill="1" applyBorder="1" applyAlignment="1" applyProtection="1">
      <alignment horizontal="left"/>
    </xf>
    <xf numFmtId="0" fontId="2" fillId="14" borderId="1" xfId="0" applyFont="1" applyFill="1" applyBorder="1" applyProtection="1"/>
    <xf numFmtId="0" fontId="7" fillId="0" borderId="1" xfId="20" applyFont="1" applyBorder="1" applyAlignment="1" applyProtection="1">
      <alignment horizontal="center" vertical="center" wrapText="1"/>
    </xf>
    <xf numFmtId="0" fontId="7" fillId="0" borderId="2" xfId="20" applyFont="1" applyBorder="1" applyAlignment="1" applyProtection="1">
      <alignment horizontal="center" vertical="center"/>
    </xf>
    <xf numFmtId="0" fontId="7" fillId="0" borderId="3" xfId="20" applyFont="1" applyBorder="1" applyAlignment="1" applyProtection="1">
      <alignment horizontal="center" vertical="center"/>
    </xf>
    <xf numFmtId="179" fontId="0" fillId="2" borderId="1" xfId="0" applyNumberFormat="1" applyFill="1" applyBorder="1" applyAlignment="1" applyProtection="1">
      <alignment horizontal="center"/>
    </xf>
    <xf numFmtId="183" fontId="7" fillId="0" borderId="1" xfId="20" applyNumberFormat="1" applyFont="1" applyBorder="1" applyAlignment="1" applyProtection="1">
      <alignment horizontal="center" vertical="center"/>
    </xf>
    <xf numFmtId="0" fontId="0" fillId="2" borderId="1" xfId="20" applyFont="1" applyFill="1" applyBorder="1" applyAlignment="1" applyProtection="1">
      <alignment horizontal="center" vertical="center"/>
    </xf>
    <xf numFmtId="179" fontId="16" fillId="2" borderId="1" xfId="0" applyNumberFormat="1" applyFont="1" applyFill="1" applyBorder="1" applyAlignment="1" applyProtection="1">
      <alignment horizontal="center"/>
    </xf>
    <xf numFmtId="0" fontId="0" fillId="0" borderId="0" xfId="0" applyAlignment="1" applyProtection="1">
      <alignment horizontal="center" vertical="center" wrapText="1"/>
    </xf>
    <xf numFmtId="0" fontId="4" fillId="2" borderId="3" xfId="0" applyFont="1" applyFill="1" applyBorder="1" applyProtection="1"/>
    <xf numFmtId="179" fontId="4" fillId="2" borderId="2" xfId="0" applyNumberFormat="1" applyFont="1" applyFill="1" applyBorder="1" applyAlignment="1" applyProtection="1">
      <alignment horizontal="left"/>
    </xf>
    <xf numFmtId="179" fontId="4" fillId="2" borderId="3" xfId="0" applyNumberFormat="1" applyFont="1" applyFill="1" applyBorder="1" applyAlignment="1" applyProtection="1">
      <alignment horizontal="left"/>
    </xf>
    <xf numFmtId="0" fontId="22" fillId="2" borderId="3" xfId="0" applyFont="1" applyFill="1" applyBorder="1" applyProtection="1"/>
    <xf numFmtId="0" fontId="21" fillId="2" borderId="1" xfId="0" applyFont="1" applyFill="1" applyBorder="1" applyAlignment="1" applyProtection="1">
      <alignment horizontal="left"/>
    </xf>
    <xf numFmtId="0" fontId="22" fillId="2" borderId="1" xfId="0" applyFont="1" applyFill="1" applyBorder="1" applyAlignment="1" applyProtection="1">
      <alignment horizontal="left"/>
    </xf>
    <xf numFmtId="0" fontId="0" fillId="4" borderId="2" xfId="0" applyFont="1" applyFill="1" applyBorder="1" applyAlignment="1" applyProtection="1">
      <protection locked="0"/>
    </xf>
    <xf numFmtId="0" fontId="0" fillId="4" borderId="3" xfId="0" applyFont="1" applyFill="1" applyBorder="1" applyAlignment="1" applyProtection="1"/>
    <xf numFmtId="0" fontId="93" fillId="2" borderId="6" xfId="0" applyFont="1" applyFill="1" applyBorder="1" applyAlignment="1" applyProtection="1">
      <alignment horizontal="left" vertical="center"/>
    </xf>
    <xf numFmtId="0" fontId="93" fillId="2" borderId="4" xfId="0" applyFont="1" applyFill="1" applyBorder="1" applyAlignment="1" applyProtection="1">
      <alignment horizontal="left" vertical="center"/>
    </xf>
    <xf numFmtId="0" fontId="21" fillId="2" borderId="4" xfId="0" applyFont="1" applyFill="1" applyBorder="1" applyAlignment="1" applyProtection="1">
      <alignment vertical="center"/>
    </xf>
    <xf numFmtId="0" fontId="21" fillId="2" borderId="2" xfId="0" applyFont="1" applyFill="1" applyBorder="1" applyAlignment="1" applyProtection="1">
      <alignment horizontal="left"/>
    </xf>
    <xf numFmtId="0" fontId="22" fillId="2" borderId="5" xfId="0" applyFont="1" applyFill="1" applyBorder="1" applyAlignment="1" applyProtection="1">
      <alignment horizontal="left"/>
    </xf>
    <xf numFmtId="179" fontId="18" fillId="3" borderId="1" xfId="0" applyNumberFormat="1" applyFont="1" applyFill="1" applyBorder="1" applyAlignment="1" applyProtection="1">
      <alignment horizontal="center"/>
      <protection locked="0"/>
    </xf>
    <xf numFmtId="179" fontId="0" fillId="3" borderId="1" xfId="0" applyNumberFormat="1" applyFont="1" applyFill="1" applyBorder="1" applyAlignment="1" applyProtection="1">
      <alignment horizontal="center"/>
      <protection locked="0"/>
    </xf>
    <xf numFmtId="183" fontId="0" fillId="2" borderId="2" xfId="0" applyNumberFormat="1" applyFont="1" applyFill="1" applyBorder="1" applyAlignment="1" applyProtection="1">
      <alignment horizontal="left"/>
    </xf>
    <xf numFmtId="183" fontId="0" fillId="3" borderId="7" xfId="0" applyNumberFormat="1" applyFont="1" applyFill="1" applyBorder="1" applyAlignment="1" applyProtection="1">
      <alignment horizontal="left"/>
    </xf>
    <xf numFmtId="0" fontId="79" fillId="0" borderId="8" xfId="0" applyFont="1" applyBorder="1" applyAlignment="1" applyProtection="1">
      <alignment horizontal="center"/>
    </xf>
    <xf numFmtId="0" fontId="10" fillId="11" borderId="1" xfId="0" applyFont="1" applyFill="1" applyBorder="1" applyAlignment="1" applyProtection="1">
      <alignment horizontal="left"/>
    </xf>
    <xf numFmtId="0" fontId="86" fillId="4" borderId="2" xfId="0" applyFont="1" applyFill="1" applyBorder="1" applyAlignment="1" applyProtection="1">
      <alignment horizontal="left"/>
      <protection locked="0"/>
    </xf>
    <xf numFmtId="0" fontId="10" fillId="11" borderId="2" xfId="0" applyFont="1" applyFill="1" applyBorder="1" applyAlignment="1" applyProtection="1">
      <alignment horizontal="left"/>
    </xf>
    <xf numFmtId="0" fontId="10" fillId="11" borderId="3" xfId="0" applyFont="1" applyFill="1" applyBorder="1" applyAlignment="1" applyProtection="1">
      <alignment horizontal="left"/>
    </xf>
    <xf numFmtId="0" fontId="81" fillId="12" borderId="2" xfId="0" applyFont="1" applyFill="1" applyBorder="1" applyAlignment="1" applyProtection="1">
      <alignment horizontal="center"/>
    </xf>
    <xf numFmtId="0" fontId="81" fillId="12" borderId="3" xfId="0" applyFont="1" applyFill="1" applyBorder="1" applyAlignment="1" applyProtection="1">
      <alignment horizontal="center"/>
    </xf>
    <xf numFmtId="0" fontId="94" fillId="12" borderId="1" xfId="0" applyFont="1" applyFill="1" applyBorder="1" applyAlignment="1" applyProtection="1">
      <alignment horizontal="left"/>
    </xf>
    <xf numFmtId="0" fontId="77" fillId="0" borderId="1" xfId="0" applyFont="1" applyBorder="1" applyAlignment="1" applyProtection="1">
      <alignment horizontal="center"/>
    </xf>
    <xf numFmtId="0" fontId="95" fillId="12" borderId="1" xfId="51" applyFont="1" applyFill="1" applyBorder="1" applyAlignment="1" applyProtection="1">
      <alignment horizontal="left"/>
    </xf>
    <xf numFmtId="0" fontId="81" fillId="0" borderId="1" xfId="0" applyFont="1" applyBorder="1" applyAlignment="1" applyProtection="1">
      <alignment horizontal="left"/>
    </xf>
    <xf numFmtId="0" fontId="95" fillId="11" borderId="1" xfId="51" applyFont="1" applyFill="1" applyBorder="1" applyAlignment="1" applyProtection="1">
      <alignment horizontal="left"/>
    </xf>
    <xf numFmtId="0" fontId="95" fillId="0" borderId="0" xfId="51" applyFont="1" applyBorder="1" applyProtection="1"/>
    <xf numFmtId="0" fontId="95" fillId="0" borderId="1" xfId="51" applyFont="1" applyBorder="1" applyAlignment="1" applyProtection="1">
      <alignment horizontal="left"/>
      <protection locked="0"/>
    </xf>
    <xf numFmtId="0" fontId="95" fillId="0" borderId="0" xfId="51" applyFont="1" applyBorder="1" applyAlignment="1" applyProtection="1">
      <alignment horizontal="left" wrapText="1"/>
    </xf>
    <xf numFmtId="2" fontId="95" fillId="11" borderId="1" xfId="51" applyNumberFormat="1" applyFont="1" applyFill="1" applyBorder="1" applyAlignment="1" applyProtection="1">
      <alignment horizontal="left"/>
    </xf>
    <xf numFmtId="0" fontId="95" fillId="11" borderId="1" xfId="51" applyFont="1" applyFill="1" applyBorder="1" applyAlignment="1" applyProtection="1">
      <alignment horizontal="left" wrapText="1"/>
    </xf>
    <xf numFmtId="0" fontId="95" fillId="0" borderId="0" xfId="51" applyFont="1" applyBorder="1" applyAlignment="1" applyProtection="1">
      <alignment horizontal="left"/>
    </xf>
    <xf numFmtId="177" fontId="96" fillId="11" borderId="1" xfId="51" applyNumberFormat="1" applyFont="1" applyFill="1" applyBorder="1" applyAlignment="1" applyProtection="1">
      <alignment horizontal="left"/>
    </xf>
    <xf numFmtId="0" fontId="96" fillId="11" borderId="1" xfId="51" applyFont="1" applyFill="1" applyBorder="1" applyAlignment="1" applyProtection="1">
      <alignment horizontal="left"/>
    </xf>
    <xf numFmtId="0" fontId="81" fillId="0" borderId="8" xfId="0" applyFont="1" applyBorder="1" applyAlignment="1" applyProtection="1">
      <alignment horizontal="left"/>
    </xf>
    <xf numFmtId="177" fontId="95" fillId="11" borderId="1" xfId="51" applyNumberFormat="1" applyFont="1" applyFill="1" applyBorder="1" applyAlignment="1" applyProtection="1">
      <alignment horizontal="left"/>
    </xf>
    <xf numFmtId="177" fontId="10" fillId="11" borderId="1" xfId="0" applyNumberFormat="1" applyFont="1" applyFill="1" applyBorder="1" applyAlignment="1" applyProtection="1">
      <alignment horizontal="left"/>
    </xf>
    <xf numFmtId="0" fontId="86" fillId="11" borderId="1" xfId="51" applyFont="1" applyFill="1" applyBorder="1" applyAlignment="1" applyProtection="1">
      <alignment horizontal="left"/>
    </xf>
    <xf numFmtId="185" fontId="97" fillId="11" borderId="1" xfId="51" applyNumberFormat="1" applyFont="1" applyFill="1" applyBorder="1" applyAlignment="1" applyProtection="1">
      <alignment horizontal="left"/>
    </xf>
    <xf numFmtId="0" fontId="80" fillId="11" borderId="1" xfId="51" applyFont="1" applyFill="1" applyBorder="1" applyAlignment="1" applyProtection="1">
      <alignment horizontal="center"/>
    </xf>
    <xf numFmtId="185" fontId="86" fillId="11" borderId="1" xfId="51" applyNumberFormat="1" applyFont="1" applyFill="1" applyBorder="1" applyAlignment="1" applyProtection="1">
      <alignment horizontal="left"/>
    </xf>
    <xf numFmtId="177" fontId="98" fillId="11" borderId="1" xfId="51" applyNumberFormat="1" applyFont="1" applyFill="1" applyBorder="1" applyAlignment="1" applyProtection="1">
      <alignment horizontal="left"/>
    </xf>
    <xf numFmtId="0" fontId="85" fillId="11" borderId="0" xfId="0" applyFont="1" applyFill="1" applyAlignment="1" applyProtection="1">
      <alignment horizontal="left" vertical="top" wrapText="1"/>
    </xf>
    <xf numFmtId="0" fontId="10" fillId="11" borderId="0" xfId="0" applyFont="1" applyFill="1" applyAlignment="1" applyProtection="1">
      <alignment horizontal="left" vertical="top" wrapText="1"/>
    </xf>
    <xf numFmtId="0" fontId="2" fillId="2" borderId="1" xfId="0" applyFont="1" applyFill="1" applyBorder="1" applyAlignment="1">
      <alignment horizontal="left"/>
    </xf>
    <xf numFmtId="0" fontId="0" fillId="4" borderId="1" xfId="0" applyFill="1" applyBorder="1" applyAlignment="1">
      <alignment horizontal="left"/>
    </xf>
    <xf numFmtId="0" fontId="99" fillId="0" borderId="1" xfId="10" applyFont="1" applyBorder="1" applyAlignment="1" applyProtection="1">
      <alignment horizontal="left"/>
    </xf>
    <xf numFmtId="0" fontId="0" fillId="4" borderId="6" xfId="0" applyFill="1" applyBorder="1"/>
    <xf numFmtId="0" fontId="0" fillId="4" borderId="9" xfId="0" applyFont="1" applyFill="1" applyBorder="1"/>
    <xf numFmtId="0" fontId="100" fillId="0" borderId="1" xfId="10" applyFont="1" applyBorder="1" applyAlignment="1" applyProtection="1">
      <alignment horizontal="left"/>
    </xf>
    <xf numFmtId="0" fontId="0" fillId="4" borderId="9" xfId="0" applyFill="1" applyBorder="1"/>
    <xf numFmtId="0" fontId="0" fillId="4" borderId="9" xfId="0" applyFill="1" applyBorder="1" applyAlignment="1">
      <alignment wrapText="1"/>
    </xf>
    <xf numFmtId="0" fontId="101" fillId="0" borderId="1" xfId="10" applyBorder="1" applyAlignment="1" applyProtection="1">
      <alignment horizontal="left"/>
    </xf>
    <xf numFmtId="0" fontId="0" fillId="0" borderId="7" xfId="0" applyBorder="1"/>
    <xf numFmtId="0" fontId="0" fillId="4" borderId="4" xfId="0" applyFill="1" applyBorder="1"/>
    <xf numFmtId="0" fontId="10" fillId="0" borderId="0" xfId="0" applyFont="1" applyAlignment="1" applyProtection="1">
      <alignment vertical="top" wrapText="1"/>
    </xf>
    <xf numFmtId="0" fontId="10" fillId="2" borderId="1" xfId="0" applyFont="1" applyFill="1" applyBorder="1" applyAlignment="1" applyProtection="1">
      <alignment vertical="top" wrapText="1"/>
    </xf>
    <xf numFmtId="0" fontId="10" fillId="4" borderId="1" xfId="0" applyFont="1" applyFill="1" applyBorder="1" applyAlignment="1" applyProtection="1">
      <alignment horizontal="left" vertical="top" wrapText="1"/>
    </xf>
    <xf numFmtId="0" fontId="0" fillId="4" borderId="1" xfId="0" applyFill="1" applyBorder="1" applyAlignment="1">
      <alignment horizontal="left" vertical="top" wrapText="1"/>
    </xf>
    <xf numFmtId="0" fontId="0" fillId="4" borderId="1" xfId="0" applyFill="1" applyBorder="1" applyAlignment="1">
      <alignment horizontal="left" vertical="top"/>
    </xf>
    <xf numFmtId="0" fontId="0" fillId="0" borderId="0" xfId="0" applyAlignment="1">
      <alignment horizontal="left"/>
    </xf>
    <xf numFmtId="0" fontId="101" fillId="0" borderId="1" xfId="10" applyBorder="1" applyAlignment="1" applyProtection="1" quotePrefix="1">
      <alignment horizontal="left"/>
    </xf>
  </cellXfs>
  <cellStyles count="58">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常规 6" xfId="13"/>
    <cellStyle name="注释" xfId="14" builtinId="10"/>
    <cellStyle name="60% - 强调文字颜色 2" xfId="15" builtinId="36"/>
    <cellStyle name="标题 4" xfId="16" builtinId="19"/>
    <cellStyle name="警告文本" xfId="17" builtinId="11"/>
    <cellStyle name="标题" xfId="18" builtinId="15"/>
    <cellStyle name="解释性文本" xfId="19" builtinId="53"/>
    <cellStyle name="常规 8" xfId="20"/>
    <cellStyle name="标题 1" xfId="21" builtinId="16"/>
    <cellStyle name="标题 2" xfId="22" builtinId="17"/>
    <cellStyle name="60% - 强调文字颜色 1" xfId="23" builtinId="32"/>
    <cellStyle name="标题 3" xfId="24" builtinId="18"/>
    <cellStyle name="60% - 强调文字颜色 4" xfId="25" builtinId="44"/>
    <cellStyle name="输出" xfId="26" builtinId="21"/>
    <cellStyle name="计算" xfId="27" builtinId="22"/>
    <cellStyle name="检查单元格" xfId="28" builtinId="23"/>
    <cellStyle name="20% - 强调文字颜色 6" xfId="29" builtinId="50"/>
    <cellStyle name="强调文字颜色 2" xfId="30" builtinId="33"/>
    <cellStyle name="链接单元格" xfId="31" builtinId="24"/>
    <cellStyle name="汇总" xfId="32" builtinId="25"/>
    <cellStyle name="好" xfId="33" builtinId="26"/>
    <cellStyle name="适中" xfId="34" builtinId="28"/>
    <cellStyle name="20% - 强调文字颜色 5" xfId="35" builtinId="46"/>
    <cellStyle name="强调文字颜色 1" xfId="36" builtinId="29"/>
    <cellStyle name="20% - 强调文字颜色 1" xfId="37" builtinId="30"/>
    <cellStyle name="40% - 强调文字颜色 1" xfId="38" builtinId="31"/>
    <cellStyle name="20% - 强调文字颜色 2" xfId="39" builtinId="34"/>
    <cellStyle name="40% - 强调文字颜色 2" xfId="40" builtinId="35"/>
    <cellStyle name="强调文字颜色 3" xfId="41" builtinId="37"/>
    <cellStyle name="强调文字颜色 4" xfId="42" builtinId="41"/>
    <cellStyle name="20% - 强调文字颜色 4" xfId="43" builtinId="42"/>
    <cellStyle name="40% - 强调文字颜色 4" xfId="44" builtinId="43"/>
    <cellStyle name="强调文字颜色 5" xfId="45" builtinId="45"/>
    <cellStyle name="40% - 强调文字颜色 5" xfId="46" builtinId="47"/>
    <cellStyle name="60% - 强调文字颜色 5" xfId="47" builtinId="48"/>
    <cellStyle name="强调文字颜色 6" xfId="48" builtinId="49"/>
    <cellStyle name="40% - 强调文字颜色 6" xfId="49" builtinId="51"/>
    <cellStyle name="60% - 强调文字颜色 6" xfId="50" builtinId="52"/>
    <cellStyle name="常规 2" xfId="51"/>
    <cellStyle name="常规 3" xfId="52"/>
    <cellStyle name="常规 4" xfId="53"/>
    <cellStyle name="常规 5" xfId="54"/>
    <cellStyle name="常规 7" xfId="55"/>
    <cellStyle name="超链接 2" xfId="56"/>
    <cellStyle name="超链接 3" xfId="57"/>
  </cellStyles>
  <dxfs count="3">
    <dxf>
      <font>
        <b val="1"/>
        <i val="0"/>
        <strike val="0"/>
        <color theme="9" tint="-0.249946592608417"/>
      </font>
    </dxf>
    <dxf>
      <font>
        <b val="1"/>
        <i val="0"/>
        <strike val="1"/>
        <color rgb="FFFF0000"/>
      </font>
    </dxf>
    <dxf>
      <font>
        <b val="1"/>
        <i val="0"/>
        <strike val="0"/>
        <color theme="9" tint="-0.249946592608417"/>
      </font>
      <numFmt numFmtId="183" formatCode="0.00_ "/>
    </dxf>
  </dxfs>
  <tableStyles count="0" defaultTableStyle="TableStyleMedium2" defaultPivotStyle="PivotStyleMedium9"/>
  <colors>
    <mruColors>
      <color rgb="00007A37"/>
      <color rgb="001E8232"/>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8" Type="http://schemas.openxmlformats.org/officeDocument/2006/relationships/sharedStrings" Target="sharedStrings.xml"/><Relationship Id="rId37" Type="http://schemas.openxmlformats.org/officeDocument/2006/relationships/styles" Target="styles.xml"/><Relationship Id="rId36" Type="http://schemas.openxmlformats.org/officeDocument/2006/relationships/theme" Target="theme/theme1.xml"/><Relationship Id="rId35" Type="http://schemas.openxmlformats.org/officeDocument/2006/relationships/worksheet" Target="worksheets/sheet35.xml"/><Relationship Id="rId34" Type="http://schemas.openxmlformats.org/officeDocument/2006/relationships/worksheet" Target="worksheets/sheet34.xml"/><Relationship Id="rId33" Type="http://schemas.openxmlformats.org/officeDocument/2006/relationships/worksheet" Target="worksheets/sheet33.xml"/><Relationship Id="rId32" Type="http://schemas.openxmlformats.org/officeDocument/2006/relationships/worksheet" Target="worksheets/sheet32.xml"/><Relationship Id="rId31" Type="http://schemas.openxmlformats.org/officeDocument/2006/relationships/worksheet" Target="worksheets/sheet31.xml"/><Relationship Id="rId30" Type="http://schemas.openxmlformats.org/officeDocument/2006/relationships/worksheet" Target="worksheets/sheet30.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0445344074921228"/>
          <c:y val="0.016176327859614"/>
          <c:w val="0.771990904735892"/>
          <c:h val="0.90416388806269"/>
        </c:manualLayout>
      </c:layout>
      <c:scatterChart>
        <c:scatterStyle val="marker"/>
        <c:varyColors val="0"/>
        <c:ser>
          <c:idx val="0"/>
          <c:order val="0"/>
          <c:tx>
            <c:strRef>
              <c:f>硬度与强度换算!$B$6</c:f>
              <c:strCache>
                <c:ptCount val="1"/>
                <c:pt idx="0">
                  <c:v>HB</c:v>
                </c:pt>
              </c:strCache>
            </c:strRef>
          </c:tx>
          <c:spPr>
            <a:ln w="28575" cap="rnd" cmpd="sng" algn="ctr">
              <a:noFill/>
              <a:prstDash val="solid"/>
              <a:round/>
            </a:ln>
          </c:spPr>
          <c:dLbls>
            <c:delete val="1"/>
          </c:dLbls>
          <c:trendline>
            <c:trendlineType val="poly"/>
            <c:order val="3"/>
            <c:dispRSqr val="1"/>
            <c:dispEq val="1"/>
            <c:trendlineLbl>
              <c:layout>
                <c:manualLayout>
                  <c:x val="0.198130747795343"/>
                  <c:y val="0.545896067166555"/>
                </c:manualLayout>
              </c:layout>
              <c:numFmt formatCode="#,##0.00000000000000000000_);\(#,##0.00000000000000000000\)" sourceLinked="0"/>
              <c:txPr>
                <a:bodyPr rot="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trendlineLbl>
          </c:trendline>
          <c:xVal>
            <c:numRef>
              <c:f>硬度与强度换算!$A$7:$A$113</c:f>
              <c:numCache>
                <c:formatCode>General</c:formatCode>
                <c:ptCount val="107"/>
                <c:pt idx="0">
                  <c:v>17</c:v>
                </c:pt>
                <c:pt idx="1">
                  <c:v>17.5</c:v>
                </c:pt>
                <c:pt idx="2">
                  <c:v>18</c:v>
                </c:pt>
                <c:pt idx="3">
                  <c:v>18.5</c:v>
                </c:pt>
                <c:pt idx="4">
                  <c:v>19</c:v>
                </c:pt>
                <c:pt idx="5">
                  <c:v>19.5</c:v>
                </c:pt>
                <c:pt idx="6">
                  <c:v>20</c:v>
                </c:pt>
                <c:pt idx="7">
                  <c:v>20.5</c:v>
                </c:pt>
                <c:pt idx="8">
                  <c:v>21</c:v>
                </c:pt>
                <c:pt idx="9">
                  <c:v>21.5</c:v>
                </c:pt>
                <c:pt idx="10">
                  <c:v>22</c:v>
                </c:pt>
                <c:pt idx="11">
                  <c:v>22.5</c:v>
                </c:pt>
                <c:pt idx="12">
                  <c:v>23</c:v>
                </c:pt>
                <c:pt idx="13">
                  <c:v>23.5</c:v>
                </c:pt>
                <c:pt idx="14">
                  <c:v>24</c:v>
                </c:pt>
                <c:pt idx="15">
                  <c:v>24.5</c:v>
                </c:pt>
                <c:pt idx="16">
                  <c:v>25</c:v>
                </c:pt>
                <c:pt idx="17">
                  <c:v>25.5</c:v>
                </c:pt>
                <c:pt idx="18">
                  <c:v>26</c:v>
                </c:pt>
                <c:pt idx="19">
                  <c:v>26.5</c:v>
                </c:pt>
                <c:pt idx="20">
                  <c:v>27</c:v>
                </c:pt>
                <c:pt idx="21">
                  <c:v>27.5</c:v>
                </c:pt>
                <c:pt idx="22">
                  <c:v>28</c:v>
                </c:pt>
                <c:pt idx="23">
                  <c:v>28.5</c:v>
                </c:pt>
                <c:pt idx="24">
                  <c:v>29</c:v>
                </c:pt>
                <c:pt idx="25">
                  <c:v>29.5</c:v>
                </c:pt>
                <c:pt idx="26">
                  <c:v>30</c:v>
                </c:pt>
                <c:pt idx="27">
                  <c:v>30.5</c:v>
                </c:pt>
                <c:pt idx="28">
                  <c:v>31</c:v>
                </c:pt>
                <c:pt idx="29">
                  <c:v>31.5</c:v>
                </c:pt>
                <c:pt idx="30">
                  <c:v>32</c:v>
                </c:pt>
                <c:pt idx="31">
                  <c:v>32.5</c:v>
                </c:pt>
                <c:pt idx="32">
                  <c:v>33</c:v>
                </c:pt>
                <c:pt idx="33">
                  <c:v>33.5</c:v>
                </c:pt>
                <c:pt idx="34">
                  <c:v>34</c:v>
                </c:pt>
                <c:pt idx="35">
                  <c:v>34.5</c:v>
                </c:pt>
                <c:pt idx="36">
                  <c:v>35</c:v>
                </c:pt>
                <c:pt idx="37">
                  <c:v>35.5</c:v>
                </c:pt>
                <c:pt idx="38">
                  <c:v>36</c:v>
                </c:pt>
                <c:pt idx="39">
                  <c:v>36.5</c:v>
                </c:pt>
                <c:pt idx="40">
                  <c:v>37</c:v>
                </c:pt>
                <c:pt idx="41">
                  <c:v>37.5</c:v>
                </c:pt>
                <c:pt idx="42">
                  <c:v>38</c:v>
                </c:pt>
                <c:pt idx="43">
                  <c:v>38.5</c:v>
                </c:pt>
                <c:pt idx="44">
                  <c:v>39</c:v>
                </c:pt>
                <c:pt idx="45">
                  <c:v>39.5</c:v>
                </c:pt>
                <c:pt idx="46">
                  <c:v>40</c:v>
                </c:pt>
                <c:pt idx="47">
                  <c:v>40.5</c:v>
                </c:pt>
                <c:pt idx="48">
                  <c:v>41</c:v>
                </c:pt>
                <c:pt idx="49">
                  <c:v>41.5</c:v>
                </c:pt>
                <c:pt idx="50">
                  <c:v>42</c:v>
                </c:pt>
                <c:pt idx="51">
                  <c:v>42.5</c:v>
                </c:pt>
                <c:pt idx="52">
                  <c:v>43</c:v>
                </c:pt>
                <c:pt idx="53">
                  <c:v>43.5</c:v>
                </c:pt>
                <c:pt idx="54">
                  <c:v>44</c:v>
                </c:pt>
                <c:pt idx="55">
                  <c:v>44.5</c:v>
                </c:pt>
                <c:pt idx="56">
                  <c:v>45</c:v>
                </c:pt>
                <c:pt idx="57">
                  <c:v>45.5</c:v>
                </c:pt>
                <c:pt idx="58">
                  <c:v>46</c:v>
                </c:pt>
                <c:pt idx="59">
                  <c:v>46.5</c:v>
                </c:pt>
                <c:pt idx="60">
                  <c:v>47</c:v>
                </c:pt>
                <c:pt idx="61">
                  <c:v>47.5</c:v>
                </c:pt>
                <c:pt idx="62">
                  <c:v>48</c:v>
                </c:pt>
                <c:pt idx="63">
                  <c:v>48.5</c:v>
                </c:pt>
                <c:pt idx="64">
                  <c:v>49</c:v>
                </c:pt>
                <c:pt idx="65">
                  <c:v>49.5</c:v>
                </c:pt>
                <c:pt idx="66">
                  <c:v>50</c:v>
                </c:pt>
                <c:pt idx="67">
                  <c:v>50.5</c:v>
                </c:pt>
                <c:pt idx="68">
                  <c:v>51</c:v>
                </c:pt>
                <c:pt idx="69">
                  <c:v>51.5</c:v>
                </c:pt>
                <c:pt idx="70">
                  <c:v>52</c:v>
                </c:pt>
                <c:pt idx="71">
                  <c:v>52.5</c:v>
                </c:pt>
                <c:pt idx="72">
                  <c:v>53</c:v>
                </c:pt>
                <c:pt idx="73">
                  <c:v>53.5</c:v>
                </c:pt>
                <c:pt idx="74">
                  <c:v>54</c:v>
                </c:pt>
                <c:pt idx="75">
                  <c:v>54.5</c:v>
                </c:pt>
                <c:pt idx="76">
                  <c:v>55</c:v>
                </c:pt>
                <c:pt idx="77">
                  <c:v>55.5</c:v>
                </c:pt>
                <c:pt idx="78">
                  <c:v>56</c:v>
                </c:pt>
                <c:pt idx="79">
                  <c:v>56.5</c:v>
                </c:pt>
                <c:pt idx="80">
                  <c:v>57</c:v>
                </c:pt>
                <c:pt idx="81">
                  <c:v>57.5</c:v>
                </c:pt>
                <c:pt idx="82">
                  <c:v>58</c:v>
                </c:pt>
                <c:pt idx="83">
                  <c:v>58.5</c:v>
                </c:pt>
                <c:pt idx="84">
                  <c:v>59</c:v>
                </c:pt>
                <c:pt idx="85">
                  <c:v>59.5</c:v>
                </c:pt>
                <c:pt idx="86">
                  <c:v>60</c:v>
                </c:pt>
                <c:pt idx="87">
                  <c:v>60.5</c:v>
                </c:pt>
                <c:pt idx="88">
                  <c:v>61</c:v>
                </c:pt>
                <c:pt idx="89">
                  <c:v>61.5</c:v>
                </c:pt>
                <c:pt idx="90">
                  <c:v>62</c:v>
                </c:pt>
                <c:pt idx="91">
                  <c:v>62.5</c:v>
                </c:pt>
                <c:pt idx="92">
                  <c:v>63</c:v>
                </c:pt>
                <c:pt idx="93">
                  <c:v>63.5</c:v>
                </c:pt>
                <c:pt idx="94">
                  <c:v>64</c:v>
                </c:pt>
                <c:pt idx="95">
                  <c:v>64.5</c:v>
                </c:pt>
                <c:pt idx="96">
                  <c:v>65</c:v>
                </c:pt>
                <c:pt idx="97">
                  <c:v>65.5</c:v>
                </c:pt>
                <c:pt idx="98">
                  <c:v>66</c:v>
                </c:pt>
                <c:pt idx="99">
                  <c:v>66.5</c:v>
                </c:pt>
                <c:pt idx="100">
                  <c:v>67</c:v>
                </c:pt>
                <c:pt idx="101">
                  <c:v>67.5</c:v>
                </c:pt>
                <c:pt idx="102">
                  <c:v>68</c:v>
                </c:pt>
                <c:pt idx="103">
                  <c:v>68.5</c:v>
                </c:pt>
                <c:pt idx="104">
                  <c:v>69</c:v>
                </c:pt>
                <c:pt idx="105">
                  <c:v>69.5</c:v>
                </c:pt>
                <c:pt idx="106">
                  <c:v>70</c:v>
                </c:pt>
              </c:numCache>
            </c:numRef>
          </c:xVal>
          <c:yVal>
            <c:numRef>
              <c:f>硬度与强度换算!$B$7:$B$113</c:f>
              <c:numCache>
                <c:formatCode>General</c:formatCode>
                <c:ptCount val="107"/>
                <c:pt idx="0">
                  <c:v>211</c:v>
                </c:pt>
                <c:pt idx="1">
                  <c:v>214</c:v>
                </c:pt>
                <c:pt idx="2">
                  <c:v>216</c:v>
                </c:pt>
                <c:pt idx="3">
                  <c:v>218</c:v>
                </c:pt>
                <c:pt idx="4">
                  <c:v>220</c:v>
                </c:pt>
                <c:pt idx="5">
                  <c:v>222</c:v>
                </c:pt>
                <c:pt idx="6">
                  <c:v>225</c:v>
                </c:pt>
                <c:pt idx="7">
                  <c:v>227</c:v>
                </c:pt>
                <c:pt idx="8">
                  <c:v>229</c:v>
                </c:pt>
                <c:pt idx="9">
                  <c:v>232</c:v>
                </c:pt>
                <c:pt idx="10">
                  <c:v>234</c:v>
                </c:pt>
                <c:pt idx="11">
                  <c:v>237</c:v>
                </c:pt>
                <c:pt idx="12">
                  <c:v>240</c:v>
                </c:pt>
                <c:pt idx="13">
                  <c:v>242</c:v>
                </c:pt>
                <c:pt idx="14">
                  <c:v>245</c:v>
                </c:pt>
                <c:pt idx="15">
                  <c:v>248</c:v>
                </c:pt>
                <c:pt idx="16">
                  <c:v>251</c:v>
                </c:pt>
                <c:pt idx="17">
                  <c:v>254</c:v>
                </c:pt>
                <c:pt idx="18">
                  <c:v>257</c:v>
                </c:pt>
                <c:pt idx="19">
                  <c:v>260</c:v>
                </c:pt>
                <c:pt idx="20">
                  <c:v>263</c:v>
                </c:pt>
                <c:pt idx="21">
                  <c:v>266</c:v>
                </c:pt>
                <c:pt idx="22">
                  <c:v>269</c:v>
                </c:pt>
                <c:pt idx="23">
                  <c:v>273</c:v>
                </c:pt>
                <c:pt idx="24">
                  <c:v>276</c:v>
                </c:pt>
                <c:pt idx="25">
                  <c:v>280</c:v>
                </c:pt>
                <c:pt idx="26">
                  <c:v>283</c:v>
                </c:pt>
                <c:pt idx="27">
                  <c:v>287</c:v>
                </c:pt>
                <c:pt idx="28">
                  <c:v>291</c:v>
                </c:pt>
                <c:pt idx="29">
                  <c:v>294</c:v>
                </c:pt>
                <c:pt idx="30">
                  <c:v>298</c:v>
                </c:pt>
                <c:pt idx="31">
                  <c:v>302</c:v>
                </c:pt>
                <c:pt idx="32">
                  <c:v>306</c:v>
                </c:pt>
                <c:pt idx="33">
                  <c:v>310</c:v>
                </c:pt>
                <c:pt idx="34">
                  <c:v>314</c:v>
                </c:pt>
                <c:pt idx="35">
                  <c:v>318</c:v>
                </c:pt>
                <c:pt idx="36">
                  <c:v>323</c:v>
                </c:pt>
                <c:pt idx="37">
                  <c:v>327</c:v>
                </c:pt>
                <c:pt idx="38">
                  <c:v>332</c:v>
                </c:pt>
                <c:pt idx="39">
                  <c:v>336</c:v>
                </c:pt>
                <c:pt idx="40">
                  <c:v>341</c:v>
                </c:pt>
                <c:pt idx="41">
                  <c:v>345</c:v>
                </c:pt>
                <c:pt idx="42">
                  <c:v>350</c:v>
                </c:pt>
                <c:pt idx="43">
                  <c:v>355</c:v>
                </c:pt>
                <c:pt idx="44">
                  <c:v>360</c:v>
                </c:pt>
                <c:pt idx="45">
                  <c:v>365</c:v>
                </c:pt>
                <c:pt idx="46">
                  <c:v>370</c:v>
                </c:pt>
                <c:pt idx="47">
                  <c:v>375</c:v>
                </c:pt>
                <c:pt idx="48">
                  <c:v>380</c:v>
                </c:pt>
                <c:pt idx="49">
                  <c:v>385</c:v>
                </c:pt>
                <c:pt idx="50">
                  <c:v>391</c:v>
                </c:pt>
                <c:pt idx="51">
                  <c:v>396</c:v>
                </c:pt>
                <c:pt idx="52">
                  <c:v>401</c:v>
                </c:pt>
                <c:pt idx="53">
                  <c:v>407</c:v>
                </c:pt>
                <c:pt idx="54">
                  <c:v>413</c:v>
                </c:pt>
                <c:pt idx="55">
                  <c:v>418</c:v>
                </c:pt>
                <c:pt idx="56">
                  <c:v>424</c:v>
                </c:pt>
                <c:pt idx="57">
                  <c:v>430</c:v>
                </c:pt>
                <c:pt idx="58">
                  <c:v>436</c:v>
                </c:pt>
                <c:pt idx="59">
                  <c:v>442</c:v>
                </c:pt>
                <c:pt idx="60">
                  <c:v>449</c:v>
                </c:pt>
                <c:pt idx="61">
                  <c:v>455</c:v>
                </c:pt>
                <c:pt idx="62">
                  <c:v>461</c:v>
                </c:pt>
                <c:pt idx="63">
                  <c:v>468</c:v>
                </c:pt>
                <c:pt idx="64">
                  <c:v>474</c:v>
                </c:pt>
                <c:pt idx="65">
                  <c:v>481</c:v>
                </c:pt>
                <c:pt idx="66">
                  <c:v>488</c:v>
                </c:pt>
                <c:pt idx="67">
                  <c:v>494</c:v>
                </c:pt>
                <c:pt idx="68">
                  <c:v>501</c:v>
                </c:pt>
              </c:numCache>
            </c:numRef>
          </c:yVal>
          <c:smooth val="0"/>
        </c:ser>
        <c:ser>
          <c:idx val="1"/>
          <c:order val="1"/>
          <c:tx>
            <c:strRef>
              <c:f>硬度与强度换算!$C$6</c:f>
              <c:strCache>
                <c:ptCount val="1"/>
                <c:pt idx="0">
                  <c:v>HV</c:v>
                </c:pt>
              </c:strCache>
            </c:strRef>
          </c:tx>
          <c:spPr>
            <a:ln w="28575" cap="rnd" cmpd="sng" algn="ctr">
              <a:noFill/>
              <a:prstDash val="solid"/>
              <a:round/>
            </a:ln>
          </c:spPr>
          <c:dLbls>
            <c:delete val="1"/>
          </c:dLbls>
          <c:trendline>
            <c:trendlineType val="poly"/>
            <c:order val="5"/>
            <c:dispRSqr val="1"/>
            <c:dispEq val="1"/>
            <c:trendlineLbl>
              <c:layout/>
              <c:numFmt formatCode="#,##0.00000000000000000000_);\(#,##0.00000000000000000000\)" sourceLinked="0"/>
              <c:txPr>
                <a:bodyPr rot="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trendlineLbl>
          </c:trendline>
          <c:xVal>
            <c:numRef>
              <c:f>硬度与强度换算!$A$7:$A$113</c:f>
              <c:numCache>
                <c:formatCode>General</c:formatCode>
                <c:ptCount val="107"/>
                <c:pt idx="0">
                  <c:v>17</c:v>
                </c:pt>
                <c:pt idx="1">
                  <c:v>17.5</c:v>
                </c:pt>
                <c:pt idx="2">
                  <c:v>18</c:v>
                </c:pt>
                <c:pt idx="3">
                  <c:v>18.5</c:v>
                </c:pt>
                <c:pt idx="4">
                  <c:v>19</c:v>
                </c:pt>
                <c:pt idx="5">
                  <c:v>19.5</c:v>
                </c:pt>
                <c:pt idx="6">
                  <c:v>20</c:v>
                </c:pt>
                <c:pt idx="7">
                  <c:v>20.5</c:v>
                </c:pt>
                <c:pt idx="8">
                  <c:v>21</c:v>
                </c:pt>
                <c:pt idx="9">
                  <c:v>21.5</c:v>
                </c:pt>
                <c:pt idx="10">
                  <c:v>22</c:v>
                </c:pt>
                <c:pt idx="11">
                  <c:v>22.5</c:v>
                </c:pt>
                <c:pt idx="12">
                  <c:v>23</c:v>
                </c:pt>
                <c:pt idx="13">
                  <c:v>23.5</c:v>
                </c:pt>
                <c:pt idx="14">
                  <c:v>24</c:v>
                </c:pt>
                <c:pt idx="15">
                  <c:v>24.5</c:v>
                </c:pt>
                <c:pt idx="16">
                  <c:v>25</c:v>
                </c:pt>
                <c:pt idx="17">
                  <c:v>25.5</c:v>
                </c:pt>
                <c:pt idx="18">
                  <c:v>26</c:v>
                </c:pt>
                <c:pt idx="19">
                  <c:v>26.5</c:v>
                </c:pt>
                <c:pt idx="20">
                  <c:v>27</c:v>
                </c:pt>
                <c:pt idx="21">
                  <c:v>27.5</c:v>
                </c:pt>
                <c:pt idx="22">
                  <c:v>28</c:v>
                </c:pt>
                <c:pt idx="23">
                  <c:v>28.5</c:v>
                </c:pt>
                <c:pt idx="24">
                  <c:v>29</c:v>
                </c:pt>
                <c:pt idx="25">
                  <c:v>29.5</c:v>
                </c:pt>
                <c:pt idx="26">
                  <c:v>30</c:v>
                </c:pt>
                <c:pt idx="27">
                  <c:v>30.5</c:v>
                </c:pt>
                <c:pt idx="28">
                  <c:v>31</c:v>
                </c:pt>
                <c:pt idx="29">
                  <c:v>31.5</c:v>
                </c:pt>
                <c:pt idx="30">
                  <c:v>32</c:v>
                </c:pt>
                <c:pt idx="31">
                  <c:v>32.5</c:v>
                </c:pt>
                <c:pt idx="32">
                  <c:v>33</c:v>
                </c:pt>
                <c:pt idx="33">
                  <c:v>33.5</c:v>
                </c:pt>
                <c:pt idx="34">
                  <c:v>34</c:v>
                </c:pt>
                <c:pt idx="35">
                  <c:v>34.5</c:v>
                </c:pt>
                <c:pt idx="36">
                  <c:v>35</c:v>
                </c:pt>
                <c:pt idx="37">
                  <c:v>35.5</c:v>
                </c:pt>
                <c:pt idx="38">
                  <c:v>36</c:v>
                </c:pt>
                <c:pt idx="39">
                  <c:v>36.5</c:v>
                </c:pt>
                <c:pt idx="40">
                  <c:v>37</c:v>
                </c:pt>
                <c:pt idx="41">
                  <c:v>37.5</c:v>
                </c:pt>
                <c:pt idx="42">
                  <c:v>38</c:v>
                </c:pt>
                <c:pt idx="43">
                  <c:v>38.5</c:v>
                </c:pt>
                <c:pt idx="44">
                  <c:v>39</c:v>
                </c:pt>
                <c:pt idx="45">
                  <c:v>39.5</c:v>
                </c:pt>
                <c:pt idx="46">
                  <c:v>40</c:v>
                </c:pt>
                <c:pt idx="47">
                  <c:v>40.5</c:v>
                </c:pt>
                <c:pt idx="48">
                  <c:v>41</c:v>
                </c:pt>
                <c:pt idx="49">
                  <c:v>41.5</c:v>
                </c:pt>
                <c:pt idx="50">
                  <c:v>42</c:v>
                </c:pt>
                <c:pt idx="51">
                  <c:v>42.5</c:v>
                </c:pt>
                <c:pt idx="52">
                  <c:v>43</c:v>
                </c:pt>
                <c:pt idx="53">
                  <c:v>43.5</c:v>
                </c:pt>
                <c:pt idx="54">
                  <c:v>44</c:v>
                </c:pt>
                <c:pt idx="55">
                  <c:v>44.5</c:v>
                </c:pt>
                <c:pt idx="56">
                  <c:v>45</c:v>
                </c:pt>
                <c:pt idx="57">
                  <c:v>45.5</c:v>
                </c:pt>
                <c:pt idx="58">
                  <c:v>46</c:v>
                </c:pt>
                <c:pt idx="59">
                  <c:v>46.5</c:v>
                </c:pt>
                <c:pt idx="60">
                  <c:v>47</c:v>
                </c:pt>
                <c:pt idx="61">
                  <c:v>47.5</c:v>
                </c:pt>
                <c:pt idx="62">
                  <c:v>48</c:v>
                </c:pt>
                <c:pt idx="63">
                  <c:v>48.5</c:v>
                </c:pt>
                <c:pt idx="64">
                  <c:v>49</c:v>
                </c:pt>
                <c:pt idx="65">
                  <c:v>49.5</c:v>
                </c:pt>
                <c:pt idx="66">
                  <c:v>50</c:v>
                </c:pt>
                <c:pt idx="67">
                  <c:v>50.5</c:v>
                </c:pt>
                <c:pt idx="68">
                  <c:v>51</c:v>
                </c:pt>
                <c:pt idx="69">
                  <c:v>51.5</c:v>
                </c:pt>
                <c:pt idx="70">
                  <c:v>52</c:v>
                </c:pt>
                <c:pt idx="71">
                  <c:v>52.5</c:v>
                </c:pt>
                <c:pt idx="72">
                  <c:v>53</c:v>
                </c:pt>
                <c:pt idx="73">
                  <c:v>53.5</c:v>
                </c:pt>
                <c:pt idx="74">
                  <c:v>54</c:v>
                </c:pt>
                <c:pt idx="75">
                  <c:v>54.5</c:v>
                </c:pt>
                <c:pt idx="76">
                  <c:v>55</c:v>
                </c:pt>
                <c:pt idx="77">
                  <c:v>55.5</c:v>
                </c:pt>
                <c:pt idx="78">
                  <c:v>56</c:v>
                </c:pt>
                <c:pt idx="79">
                  <c:v>56.5</c:v>
                </c:pt>
                <c:pt idx="80">
                  <c:v>57</c:v>
                </c:pt>
                <c:pt idx="81">
                  <c:v>57.5</c:v>
                </c:pt>
                <c:pt idx="82">
                  <c:v>58</c:v>
                </c:pt>
                <c:pt idx="83">
                  <c:v>58.5</c:v>
                </c:pt>
                <c:pt idx="84">
                  <c:v>59</c:v>
                </c:pt>
                <c:pt idx="85">
                  <c:v>59.5</c:v>
                </c:pt>
                <c:pt idx="86">
                  <c:v>60</c:v>
                </c:pt>
                <c:pt idx="87">
                  <c:v>60.5</c:v>
                </c:pt>
                <c:pt idx="88">
                  <c:v>61</c:v>
                </c:pt>
                <c:pt idx="89">
                  <c:v>61.5</c:v>
                </c:pt>
                <c:pt idx="90">
                  <c:v>62</c:v>
                </c:pt>
                <c:pt idx="91">
                  <c:v>62.5</c:v>
                </c:pt>
                <c:pt idx="92">
                  <c:v>63</c:v>
                </c:pt>
                <c:pt idx="93">
                  <c:v>63.5</c:v>
                </c:pt>
                <c:pt idx="94">
                  <c:v>64</c:v>
                </c:pt>
                <c:pt idx="95">
                  <c:v>64.5</c:v>
                </c:pt>
                <c:pt idx="96">
                  <c:v>65</c:v>
                </c:pt>
                <c:pt idx="97">
                  <c:v>65.5</c:v>
                </c:pt>
                <c:pt idx="98">
                  <c:v>66</c:v>
                </c:pt>
                <c:pt idx="99">
                  <c:v>66.5</c:v>
                </c:pt>
                <c:pt idx="100">
                  <c:v>67</c:v>
                </c:pt>
                <c:pt idx="101">
                  <c:v>67.5</c:v>
                </c:pt>
                <c:pt idx="102">
                  <c:v>68</c:v>
                </c:pt>
                <c:pt idx="103">
                  <c:v>68.5</c:v>
                </c:pt>
                <c:pt idx="104">
                  <c:v>69</c:v>
                </c:pt>
                <c:pt idx="105">
                  <c:v>69.5</c:v>
                </c:pt>
                <c:pt idx="106">
                  <c:v>70</c:v>
                </c:pt>
              </c:numCache>
            </c:numRef>
          </c:xVal>
          <c:yVal>
            <c:numRef>
              <c:f>硬度与强度换算!$C$7:$C$113</c:f>
              <c:numCache>
                <c:formatCode>General</c:formatCode>
                <c:ptCount val="107"/>
                <c:pt idx="0">
                  <c:v>211</c:v>
                </c:pt>
                <c:pt idx="1">
                  <c:v>214</c:v>
                </c:pt>
                <c:pt idx="2">
                  <c:v>216</c:v>
                </c:pt>
                <c:pt idx="3">
                  <c:v>218</c:v>
                </c:pt>
                <c:pt idx="4">
                  <c:v>221</c:v>
                </c:pt>
                <c:pt idx="5">
                  <c:v>223</c:v>
                </c:pt>
                <c:pt idx="6">
                  <c:v>226</c:v>
                </c:pt>
                <c:pt idx="7">
                  <c:v>229</c:v>
                </c:pt>
                <c:pt idx="8">
                  <c:v>231</c:v>
                </c:pt>
                <c:pt idx="9">
                  <c:v>234</c:v>
                </c:pt>
                <c:pt idx="10">
                  <c:v>237</c:v>
                </c:pt>
                <c:pt idx="11">
                  <c:v>240</c:v>
                </c:pt>
                <c:pt idx="12">
                  <c:v>243</c:v>
                </c:pt>
                <c:pt idx="13">
                  <c:v>246</c:v>
                </c:pt>
                <c:pt idx="14">
                  <c:v>249</c:v>
                </c:pt>
                <c:pt idx="15">
                  <c:v>252</c:v>
                </c:pt>
                <c:pt idx="16">
                  <c:v>255</c:v>
                </c:pt>
                <c:pt idx="17">
                  <c:v>258</c:v>
                </c:pt>
                <c:pt idx="18">
                  <c:v>261</c:v>
                </c:pt>
                <c:pt idx="19">
                  <c:v>264</c:v>
                </c:pt>
                <c:pt idx="20">
                  <c:v>268</c:v>
                </c:pt>
                <c:pt idx="21">
                  <c:v>271</c:v>
                </c:pt>
                <c:pt idx="22">
                  <c:v>274</c:v>
                </c:pt>
                <c:pt idx="23">
                  <c:v>278</c:v>
                </c:pt>
                <c:pt idx="24">
                  <c:v>281</c:v>
                </c:pt>
                <c:pt idx="25">
                  <c:v>285</c:v>
                </c:pt>
                <c:pt idx="26">
                  <c:v>288</c:v>
                </c:pt>
                <c:pt idx="27">
                  <c:v>292</c:v>
                </c:pt>
                <c:pt idx="28">
                  <c:v>296</c:v>
                </c:pt>
                <c:pt idx="29">
                  <c:v>300</c:v>
                </c:pt>
                <c:pt idx="30">
                  <c:v>304</c:v>
                </c:pt>
                <c:pt idx="31">
                  <c:v>308</c:v>
                </c:pt>
                <c:pt idx="32">
                  <c:v>312</c:v>
                </c:pt>
                <c:pt idx="33">
                  <c:v>316</c:v>
                </c:pt>
                <c:pt idx="34">
                  <c:v>320</c:v>
                </c:pt>
                <c:pt idx="35">
                  <c:v>324</c:v>
                </c:pt>
                <c:pt idx="36">
                  <c:v>329</c:v>
                </c:pt>
                <c:pt idx="37">
                  <c:v>333</c:v>
                </c:pt>
                <c:pt idx="38">
                  <c:v>338</c:v>
                </c:pt>
                <c:pt idx="39">
                  <c:v>342</c:v>
                </c:pt>
                <c:pt idx="40">
                  <c:v>347</c:v>
                </c:pt>
                <c:pt idx="41">
                  <c:v>352</c:v>
                </c:pt>
                <c:pt idx="42">
                  <c:v>357</c:v>
                </c:pt>
                <c:pt idx="43">
                  <c:v>362</c:v>
                </c:pt>
                <c:pt idx="44">
                  <c:v>367</c:v>
                </c:pt>
                <c:pt idx="45">
                  <c:v>372</c:v>
                </c:pt>
                <c:pt idx="46">
                  <c:v>377</c:v>
                </c:pt>
                <c:pt idx="47">
                  <c:v>382</c:v>
                </c:pt>
                <c:pt idx="48">
                  <c:v>388</c:v>
                </c:pt>
                <c:pt idx="49">
                  <c:v>393</c:v>
                </c:pt>
                <c:pt idx="50">
                  <c:v>399</c:v>
                </c:pt>
                <c:pt idx="51">
                  <c:v>405</c:v>
                </c:pt>
                <c:pt idx="52">
                  <c:v>411</c:v>
                </c:pt>
                <c:pt idx="53">
                  <c:v>417</c:v>
                </c:pt>
                <c:pt idx="54">
                  <c:v>423</c:v>
                </c:pt>
                <c:pt idx="55">
                  <c:v>429</c:v>
                </c:pt>
                <c:pt idx="56">
                  <c:v>436</c:v>
                </c:pt>
                <c:pt idx="57">
                  <c:v>443</c:v>
                </c:pt>
                <c:pt idx="58">
                  <c:v>449</c:v>
                </c:pt>
                <c:pt idx="59">
                  <c:v>456</c:v>
                </c:pt>
                <c:pt idx="60">
                  <c:v>463</c:v>
                </c:pt>
                <c:pt idx="61">
                  <c:v>470</c:v>
                </c:pt>
                <c:pt idx="62">
                  <c:v>478</c:v>
                </c:pt>
                <c:pt idx="63">
                  <c:v>485</c:v>
                </c:pt>
                <c:pt idx="64">
                  <c:v>493</c:v>
                </c:pt>
                <c:pt idx="65">
                  <c:v>501</c:v>
                </c:pt>
                <c:pt idx="66">
                  <c:v>509</c:v>
                </c:pt>
                <c:pt idx="67">
                  <c:v>517</c:v>
                </c:pt>
                <c:pt idx="68">
                  <c:v>525</c:v>
                </c:pt>
                <c:pt idx="69">
                  <c:v>534</c:v>
                </c:pt>
                <c:pt idx="70">
                  <c:v>543</c:v>
                </c:pt>
                <c:pt idx="71">
                  <c:v>551</c:v>
                </c:pt>
                <c:pt idx="72">
                  <c:v>561</c:v>
                </c:pt>
                <c:pt idx="73">
                  <c:v>570</c:v>
                </c:pt>
                <c:pt idx="74">
                  <c:v>579</c:v>
                </c:pt>
                <c:pt idx="75">
                  <c:v>589</c:v>
                </c:pt>
                <c:pt idx="76">
                  <c:v>599</c:v>
                </c:pt>
                <c:pt idx="77">
                  <c:v>609</c:v>
                </c:pt>
                <c:pt idx="78">
                  <c:v>620</c:v>
                </c:pt>
                <c:pt idx="79">
                  <c:v>631</c:v>
                </c:pt>
                <c:pt idx="80">
                  <c:v>642</c:v>
                </c:pt>
                <c:pt idx="81">
                  <c:v>653</c:v>
                </c:pt>
                <c:pt idx="82">
                  <c:v>664</c:v>
                </c:pt>
                <c:pt idx="83">
                  <c:v>676</c:v>
                </c:pt>
                <c:pt idx="84">
                  <c:v>688</c:v>
                </c:pt>
                <c:pt idx="85">
                  <c:v>700</c:v>
                </c:pt>
                <c:pt idx="86">
                  <c:v>713</c:v>
                </c:pt>
                <c:pt idx="87">
                  <c:v>726</c:v>
                </c:pt>
                <c:pt idx="88">
                  <c:v>739</c:v>
                </c:pt>
                <c:pt idx="89">
                  <c:v>752</c:v>
                </c:pt>
                <c:pt idx="90">
                  <c:v>766</c:v>
                </c:pt>
                <c:pt idx="91">
                  <c:v>780</c:v>
                </c:pt>
                <c:pt idx="92">
                  <c:v>795</c:v>
                </c:pt>
                <c:pt idx="93">
                  <c:v>810</c:v>
                </c:pt>
                <c:pt idx="94">
                  <c:v>825</c:v>
                </c:pt>
                <c:pt idx="95">
                  <c:v>840</c:v>
                </c:pt>
                <c:pt idx="96">
                  <c:v>856</c:v>
                </c:pt>
                <c:pt idx="97">
                  <c:v>872</c:v>
                </c:pt>
                <c:pt idx="98">
                  <c:v>889</c:v>
                </c:pt>
                <c:pt idx="99">
                  <c:v>906</c:v>
                </c:pt>
                <c:pt idx="100">
                  <c:v>923</c:v>
                </c:pt>
                <c:pt idx="101">
                  <c:v>941</c:v>
                </c:pt>
                <c:pt idx="102">
                  <c:v>959</c:v>
                </c:pt>
                <c:pt idx="103">
                  <c:v>978</c:v>
                </c:pt>
                <c:pt idx="104">
                  <c:v>997</c:v>
                </c:pt>
                <c:pt idx="105">
                  <c:v>1017</c:v>
                </c:pt>
                <c:pt idx="106">
                  <c:v>1037</c:v>
                </c:pt>
              </c:numCache>
            </c:numRef>
          </c:yVal>
          <c:smooth val="0"/>
        </c:ser>
        <c:dLbls>
          <c:showLegendKey val="0"/>
          <c:showVal val="0"/>
          <c:showCatName val="0"/>
          <c:showSerName val="0"/>
          <c:showPercent val="0"/>
          <c:showBubbleSize val="0"/>
        </c:dLbls>
        <c:axId val="146581376"/>
        <c:axId val="146582912"/>
      </c:scatterChart>
      <c:valAx>
        <c:axId val="146581376"/>
        <c:scaling>
          <c:orientation val="minMax"/>
          <c:max val="71"/>
          <c:min val="17"/>
        </c:scaling>
        <c:delete val="0"/>
        <c:axPos val="b"/>
        <c:numFmt formatCode="General" sourceLinked="1"/>
        <c:majorTickMark val="out"/>
        <c:minorTickMark val="none"/>
        <c:tickLblPos val="nextTo"/>
        <c:txPr>
          <a:bodyPr rot="-6000000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crossAx val="146582912"/>
        <c:crosses val="autoZero"/>
        <c:crossBetween val="midCat"/>
        <c:majorUnit val="5"/>
        <c:minorUnit val="1"/>
      </c:valAx>
      <c:valAx>
        <c:axId val="146582912"/>
        <c:scaling>
          <c:orientation val="minMax"/>
          <c:max val="1100"/>
          <c:min val="200"/>
        </c:scaling>
        <c:delete val="0"/>
        <c:axPos val="l"/>
        <c:majorGridlines/>
        <c:numFmt formatCode="General" sourceLinked="1"/>
        <c:majorTickMark val="out"/>
        <c:minorTickMark val="none"/>
        <c:tickLblPos val="nextTo"/>
        <c:txPr>
          <a:bodyPr rot="-6000000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crossAx val="146581376"/>
        <c:crosses val="autoZero"/>
        <c:crossBetween val="midCat"/>
        <c:majorUnit val="20"/>
        <c:minorUnit val="10"/>
      </c:valAx>
    </c:plotArea>
    <c:legend>
      <c:legendPos val="r"/>
      <c:layout/>
      <c:overlay val="0"/>
      <c:txPr>
        <a:bodyPr rot="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legend>
    <c:plotVisOnly val="1"/>
    <c:dispBlanksAs val="gap"/>
    <c:showDLblsOverMax val="0"/>
  </c:chart>
  <c:txPr>
    <a:bodyPr/>
    <a:lstStyle/>
    <a:p>
      <a:pPr>
        <a:defRPr lang="zh-CN"/>
      </a:pP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079992050352957"/>
          <c:y val="0.0494700945921854"/>
          <c:w val="0.683417437643646"/>
          <c:h val="0.888927298056945"/>
        </c:manualLayout>
      </c:layout>
      <c:scatterChart>
        <c:scatterStyle val="marker"/>
        <c:varyColors val="0"/>
        <c:ser>
          <c:idx val="0"/>
          <c:order val="0"/>
          <c:tx>
            <c:strRef>
              <c:f>"碳钢强度"</c:f>
              <c:strCache>
                <c:ptCount val="1"/>
                <c:pt idx="0">
                  <c:v>碳钢强度</c:v>
                </c:pt>
              </c:strCache>
            </c:strRef>
          </c:tx>
          <c:spPr>
            <a:ln w="28575" cap="rnd" cmpd="sng" algn="ctr">
              <a:noFill/>
              <a:prstDash val="solid"/>
              <a:round/>
            </a:ln>
          </c:spPr>
          <c:dLbls>
            <c:delete val="1"/>
          </c:dLbls>
          <c:trendline>
            <c:trendlineType val="poly"/>
            <c:order val="4"/>
            <c:dispRSqr val="1"/>
            <c:dispEq val="1"/>
            <c:trendlineLbl>
              <c:layout>
                <c:manualLayout>
                  <c:x val="-0.0640915581278252"/>
                  <c:y val="0.0264603150911825"/>
                </c:manualLayout>
              </c:layout>
              <c:numFmt formatCode="#,##0.00000000000000000000_);\(#,##0.00000000000000000000\)" sourceLinked="0"/>
              <c:txPr>
                <a:bodyPr rot="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trendlineLbl>
          </c:trendline>
          <c:xVal>
            <c:numRef>
              <c:f>硬度与强度换算!$A$13:$A$73</c:f>
              <c:numCache>
                <c:formatCode>General</c:formatCode>
                <c:ptCount val="61"/>
                <c:pt idx="0">
                  <c:v>20</c:v>
                </c:pt>
                <c:pt idx="1">
                  <c:v>20.5</c:v>
                </c:pt>
                <c:pt idx="2">
                  <c:v>21</c:v>
                </c:pt>
                <c:pt idx="3">
                  <c:v>21.5</c:v>
                </c:pt>
                <c:pt idx="4">
                  <c:v>22</c:v>
                </c:pt>
                <c:pt idx="5">
                  <c:v>22.5</c:v>
                </c:pt>
                <c:pt idx="6">
                  <c:v>23</c:v>
                </c:pt>
                <c:pt idx="7">
                  <c:v>23.5</c:v>
                </c:pt>
                <c:pt idx="8">
                  <c:v>24</c:v>
                </c:pt>
                <c:pt idx="9">
                  <c:v>24.5</c:v>
                </c:pt>
                <c:pt idx="10">
                  <c:v>25</c:v>
                </c:pt>
                <c:pt idx="11">
                  <c:v>25.5</c:v>
                </c:pt>
                <c:pt idx="12">
                  <c:v>26</c:v>
                </c:pt>
                <c:pt idx="13">
                  <c:v>26.5</c:v>
                </c:pt>
                <c:pt idx="14">
                  <c:v>27</c:v>
                </c:pt>
                <c:pt idx="15">
                  <c:v>27.5</c:v>
                </c:pt>
                <c:pt idx="16">
                  <c:v>28</c:v>
                </c:pt>
                <c:pt idx="17">
                  <c:v>28.5</c:v>
                </c:pt>
                <c:pt idx="18">
                  <c:v>29</c:v>
                </c:pt>
                <c:pt idx="19">
                  <c:v>29.5</c:v>
                </c:pt>
                <c:pt idx="20">
                  <c:v>30</c:v>
                </c:pt>
                <c:pt idx="21">
                  <c:v>30.5</c:v>
                </c:pt>
                <c:pt idx="22">
                  <c:v>31</c:v>
                </c:pt>
                <c:pt idx="23">
                  <c:v>31.5</c:v>
                </c:pt>
                <c:pt idx="24">
                  <c:v>32</c:v>
                </c:pt>
                <c:pt idx="25">
                  <c:v>32.5</c:v>
                </c:pt>
                <c:pt idx="26">
                  <c:v>33</c:v>
                </c:pt>
                <c:pt idx="27">
                  <c:v>33.5</c:v>
                </c:pt>
                <c:pt idx="28">
                  <c:v>34</c:v>
                </c:pt>
                <c:pt idx="29">
                  <c:v>34.5</c:v>
                </c:pt>
                <c:pt idx="30">
                  <c:v>35</c:v>
                </c:pt>
                <c:pt idx="31">
                  <c:v>35.5</c:v>
                </c:pt>
                <c:pt idx="32">
                  <c:v>36</c:v>
                </c:pt>
                <c:pt idx="33">
                  <c:v>36.5</c:v>
                </c:pt>
                <c:pt idx="34">
                  <c:v>37</c:v>
                </c:pt>
                <c:pt idx="35">
                  <c:v>37.5</c:v>
                </c:pt>
                <c:pt idx="36">
                  <c:v>38</c:v>
                </c:pt>
                <c:pt idx="37">
                  <c:v>38.5</c:v>
                </c:pt>
                <c:pt idx="38">
                  <c:v>39</c:v>
                </c:pt>
                <c:pt idx="39">
                  <c:v>39.5</c:v>
                </c:pt>
                <c:pt idx="40">
                  <c:v>40</c:v>
                </c:pt>
                <c:pt idx="41">
                  <c:v>40.5</c:v>
                </c:pt>
                <c:pt idx="42">
                  <c:v>41</c:v>
                </c:pt>
                <c:pt idx="43">
                  <c:v>41.5</c:v>
                </c:pt>
                <c:pt idx="44">
                  <c:v>42</c:v>
                </c:pt>
                <c:pt idx="45">
                  <c:v>42.5</c:v>
                </c:pt>
                <c:pt idx="46">
                  <c:v>43</c:v>
                </c:pt>
                <c:pt idx="47">
                  <c:v>43.5</c:v>
                </c:pt>
                <c:pt idx="48">
                  <c:v>44</c:v>
                </c:pt>
                <c:pt idx="49">
                  <c:v>44.5</c:v>
                </c:pt>
                <c:pt idx="50">
                  <c:v>45</c:v>
                </c:pt>
                <c:pt idx="51">
                  <c:v>45.5</c:v>
                </c:pt>
                <c:pt idx="52">
                  <c:v>46</c:v>
                </c:pt>
                <c:pt idx="53">
                  <c:v>46.5</c:v>
                </c:pt>
                <c:pt idx="54">
                  <c:v>47</c:v>
                </c:pt>
                <c:pt idx="55">
                  <c:v>47.5</c:v>
                </c:pt>
                <c:pt idx="56">
                  <c:v>48</c:v>
                </c:pt>
                <c:pt idx="57">
                  <c:v>48.5</c:v>
                </c:pt>
                <c:pt idx="58">
                  <c:v>49</c:v>
                </c:pt>
                <c:pt idx="59">
                  <c:v>49.5</c:v>
                </c:pt>
                <c:pt idx="60">
                  <c:v>50</c:v>
                </c:pt>
              </c:numCache>
            </c:numRef>
          </c:xVal>
          <c:yVal>
            <c:numRef>
              <c:f>硬度与强度换算!$D$13:$D$73</c:f>
              <c:numCache>
                <c:formatCode>General</c:formatCode>
                <c:ptCount val="61"/>
                <c:pt idx="0">
                  <c:v>774</c:v>
                </c:pt>
                <c:pt idx="1">
                  <c:v>784</c:v>
                </c:pt>
                <c:pt idx="2">
                  <c:v>793</c:v>
                </c:pt>
                <c:pt idx="3">
                  <c:v>803</c:v>
                </c:pt>
                <c:pt idx="4">
                  <c:v>813</c:v>
                </c:pt>
                <c:pt idx="5">
                  <c:v>823</c:v>
                </c:pt>
                <c:pt idx="6">
                  <c:v>833</c:v>
                </c:pt>
                <c:pt idx="7">
                  <c:v>843</c:v>
                </c:pt>
                <c:pt idx="8">
                  <c:v>854</c:v>
                </c:pt>
                <c:pt idx="9">
                  <c:v>864</c:v>
                </c:pt>
                <c:pt idx="10">
                  <c:v>875</c:v>
                </c:pt>
                <c:pt idx="11">
                  <c:v>886</c:v>
                </c:pt>
                <c:pt idx="12">
                  <c:v>897</c:v>
                </c:pt>
                <c:pt idx="13">
                  <c:v>908</c:v>
                </c:pt>
                <c:pt idx="14">
                  <c:v>919</c:v>
                </c:pt>
                <c:pt idx="15">
                  <c:v>930</c:v>
                </c:pt>
                <c:pt idx="16">
                  <c:v>942</c:v>
                </c:pt>
                <c:pt idx="17">
                  <c:v>954</c:v>
                </c:pt>
                <c:pt idx="18">
                  <c:v>965</c:v>
                </c:pt>
                <c:pt idx="19">
                  <c:v>977</c:v>
                </c:pt>
                <c:pt idx="20">
                  <c:v>989</c:v>
                </c:pt>
                <c:pt idx="21">
                  <c:v>1002</c:v>
                </c:pt>
                <c:pt idx="22">
                  <c:v>1014</c:v>
                </c:pt>
                <c:pt idx="23">
                  <c:v>1027</c:v>
                </c:pt>
                <c:pt idx="24">
                  <c:v>1039</c:v>
                </c:pt>
                <c:pt idx="25">
                  <c:v>1052</c:v>
                </c:pt>
                <c:pt idx="26">
                  <c:v>1065</c:v>
                </c:pt>
                <c:pt idx="27">
                  <c:v>1078</c:v>
                </c:pt>
                <c:pt idx="28">
                  <c:v>1092</c:v>
                </c:pt>
                <c:pt idx="29">
                  <c:v>1105</c:v>
                </c:pt>
                <c:pt idx="30">
                  <c:v>1119</c:v>
                </c:pt>
                <c:pt idx="31">
                  <c:v>1133</c:v>
                </c:pt>
                <c:pt idx="32">
                  <c:v>1147</c:v>
                </c:pt>
                <c:pt idx="33">
                  <c:v>1162</c:v>
                </c:pt>
                <c:pt idx="34">
                  <c:v>1177</c:v>
                </c:pt>
                <c:pt idx="35">
                  <c:v>1192</c:v>
                </c:pt>
                <c:pt idx="36">
                  <c:v>1207</c:v>
                </c:pt>
                <c:pt idx="37">
                  <c:v>1222</c:v>
                </c:pt>
                <c:pt idx="38">
                  <c:v>1238</c:v>
                </c:pt>
                <c:pt idx="39">
                  <c:v>1254</c:v>
                </c:pt>
                <c:pt idx="40">
                  <c:v>1271</c:v>
                </c:pt>
                <c:pt idx="41">
                  <c:v>1288</c:v>
                </c:pt>
                <c:pt idx="42">
                  <c:v>1305</c:v>
                </c:pt>
                <c:pt idx="43">
                  <c:v>1322</c:v>
                </c:pt>
                <c:pt idx="44">
                  <c:v>1340</c:v>
                </c:pt>
                <c:pt idx="45">
                  <c:v>1359</c:v>
                </c:pt>
                <c:pt idx="46">
                  <c:v>1378</c:v>
                </c:pt>
                <c:pt idx="47">
                  <c:v>1397</c:v>
                </c:pt>
                <c:pt idx="48">
                  <c:v>1417</c:v>
                </c:pt>
                <c:pt idx="49">
                  <c:v>1438</c:v>
                </c:pt>
                <c:pt idx="50">
                  <c:v>1459</c:v>
                </c:pt>
                <c:pt idx="51">
                  <c:v>1481</c:v>
                </c:pt>
                <c:pt idx="52">
                  <c:v>1503</c:v>
                </c:pt>
                <c:pt idx="53">
                  <c:v>1526</c:v>
                </c:pt>
                <c:pt idx="54">
                  <c:v>1550</c:v>
                </c:pt>
                <c:pt idx="55">
                  <c:v>1575</c:v>
                </c:pt>
                <c:pt idx="56">
                  <c:v>1600</c:v>
                </c:pt>
                <c:pt idx="57">
                  <c:v>1626</c:v>
                </c:pt>
                <c:pt idx="58">
                  <c:v>1653</c:v>
                </c:pt>
                <c:pt idx="59">
                  <c:v>1681</c:v>
                </c:pt>
                <c:pt idx="60">
                  <c:v>1710</c:v>
                </c:pt>
              </c:numCache>
            </c:numRef>
          </c:yVal>
          <c:smooth val="0"/>
        </c:ser>
        <c:ser>
          <c:idx val="1"/>
          <c:order val="1"/>
          <c:tx>
            <c:strRef>
              <c:f>"不锈钢强度"</c:f>
              <c:strCache>
                <c:ptCount val="1"/>
                <c:pt idx="0">
                  <c:v>不锈钢强度</c:v>
                </c:pt>
              </c:strCache>
            </c:strRef>
          </c:tx>
          <c:spPr>
            <a:ln w="28575" cap="rnd" cmpd="sng" algn="ctr">
              <a:noFill/>
              <a:prstDash val="solid"/>
              <a:round/>
            </a:ln>
          </c:spPr>
          <c:dLbls>
            <c:delete val="1"/>
          </c:dLbls>
          <c:trendline>
            <c:trendlineType val="poly"/>
            <c:order val="4"/>
            <c:dispRSqr val="1"/>
            <c:dispEq val="1"/>
            <c:trendlineLbl>
              <c:layout>
                <c:manualLayout>
                  <c:x val="0.206131741886283"/>
                  <c:y val="0.661061562209201"/>
                </c:manualLayout>
              </c:layout>
              <c:numFmt formatCode="#,##0.00000000000000000000_);\(#,##0.00000000000000000000\)" sourceLinked="0"/>
              <c:txPr>
                <a:bodyPr rot="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trendlineLbl>
          </c:trendline>
          <c:xVal>
            <c:numRef>
              <c:f>硬度与强度换算!$A$13:$A$73</c:f>
              <c:numCache>
                <c:formatCode>General</c:formatCode>
                <c:ptCount val="61"/>
                <c:pt idx="0">
                  <c:v>20</c:v>
                </c:pt>
                <c:pt idx="1">
                  <c:v>20.5</c:v>
                </c:pt>
                <c:pt idx="2">
                  <c:v>21</c:v>
                </c:pt>
                <c:pt idx="3">
                  <c:v>21.5</c:v>
                </c:pt>
                <c:pt idx="4">
                  <c:v>22</c:v>
                </c:pt>
                <c:pt idx="5">
                  <c:v>22.5</c:v>
                </c:pt>
                <c:pt idx="6">
                  <c:v>23</c:v>
                </c:pt>
                <c:pt idx="7">
                  <c:v>23.5</c:v>
                </c:pt>
                <c:pt idx="8">
                  <c:v>24</c:v>
                </c:pt>
                <c:pt idx="9">
                  <c:v>24.5</c:v>
                </c:pt>
                <c:pt idx="10">
                  <c:v>25</c:v>
                </c:pt>
                <c:pt idx="11">
                  <c:v>25.5</c:v>
                </c:pt>
                <c:pt idx="12">
                  <c:v>26</c:v>
                </c:pt>
                <c:pt idx="13">
                  <c:v>26.5</c:v>
                </c:pt>
                <c:pt idx="14">
                  <c:v>27</c:v>
                </c:pt>
                <c:pt idx="15">
                  <c:v>27.5</c:v>
                </c:pt>
                <c:pt idx="16">
                  <c:v>28</c:v>
                </c:pt>
                <c:pt idx="17">
                  <c:v>28.5</c:v>
                </c:pt>
                <c:pt idx="18">
                  <c:v>29</c:v>
                </c:pt>
                <c:pt idx="19">
                  <c:v>29.5</c:v>
                </c:pt>
                <c:pt idx="20">
                  <c:v>30</c:v>
                </c:pt>
                <c:pt idx="21">
                  <c:v>30.5</c:v>
                </c:pt>
                <c:pt idx="22">
                  <c:v>31</c:v>
                </c:pt>
                <c:pt idx="23">
                  <c:v>31.5</c:v>
                </c:pt>
                <c:pt idx="24">
                  <c:v>32</c:v>
                </c:pt>
                <c:pt idx="25">
                  <c:v>32.5</c:v>
                </c:pt>
                <c:pt idx="26">
                  <c:v>33</c:v>
                </c:pt>
                <c:pt idx="27">
                  <c:v>33.5</c:v>
                </c:pt>
                <c:pt idx="28">
                  <c:v>34</c:v>
                </c:pt>
                <c:pt idx="29">
                  <c:v>34.5</c:v>
                </c:pt>
                <c:pt idx="30">
                  <c:v>35</c:v>
                </c:pt>
                <c:pt idx="31">
                  <c:v>35.5</c:v>
                </c:pt>
                <c:pt idx="32">
                  <c:v>36</c:v>
                </c:pt>
                <c:pt idx="33">
                  <c:v>36.5</c:v>
                </c:pt>
                <c:pt idx="34">
                  <c:v>37</c:v>
                </c:pt>
                <c:pt idx="35">
                  <c:v>37.5</c:v>
                </c:pt>
                <c:pt idx="36">
                  <c:v>38</c:v>
                </c:pt>
                <c:pt idx="37">
                  <c:v>38.5</c:v>
                </c:pt>
                <c:pt idx="38">
                  <c:v>39</c:v>
                </c:pt>
                <c:pt idx="39">
                  <c:v>39.5</c:v>
                </c:pt>
                <c:pt idx="40">
                  <c:v>40</c:v>
                </c:pt>
                <c:pt idx="41">
                  <c:v>40.5</c:v>
                </c:pt>
                <c:pt idx="42">
                  <c:v>41</c:v>
                </c:pt>
                <c:pt idx="43">
                  <c:v>41.5</c:v>
                </c:pt>
                <c:pt idx="44">
                  <c:v>42</c:v>
                </c:pt>
                <c:pt idx="45">
                  <c:v>42.5</c:v>
                </c:pt>
                <c:pt idx="46">
                  <c:v>43</c:v>
                </c:pt>
                <c:pt idx="47">
                  <c:v>43.5</c:v>
                </c:pt>
                <c:pt idx="48">
                  <c:v>44</c:v>
                </c:pt>
                <c:pt idx="49">
                  <c:v>44.5</c:v>
                </c:pt>
                <c:pt idx="50">
                  <c:v>45</c:v>
                </c:pt>
                <c:pt idx="51">
                  <c:v>45.5</c:v>
                </c:pt>
                <c:pt idx="52">
                  <c:v>46</c:v>
                </c:pt>
                <c:pt idx="53">
                  <c:v>46.5</c:v>
                </c:pt>
                <c:pt idx="54">
                  <c:v>47</c:v>
                </c:pt>
                <c:pt idx="55">
                  <c:v>47.5</c:v>
                </c:pt>
                <c:pt idx="56">
                  <c:v>48</c:v>
                </c:pt>
                <c:pt idx="57">
                  <c:v>48.5</c:v>
                </c:pt>
                <c:pt idx="58">
                  <c:v>49</c:v>
                </c:pt>
                <c:pt idx="59">
                  <c:v>49.5</c:v>
                </c:pt>
                <c:pt idx="60">
                  <c:v>50</c:v>
                </c:pt>
              </c:numCache>
            </c:numRef>
          </c:xVal>
          <c:yVal>
            <c:numRef>
              <c:f>硬度与强度换算!$E$13:$E$73</c:f>
              <c:numCache>
                <c:formatCode>General</c:formatCode>
                <c:ptCount val="61"/>
                <c:pt idx="0">
                  <c:v>740</c:v>
                </c:pt>
                <c:pt idx="1">
                  <c:v>749</c:v>
                </c:pt>
                <c:pt idx="2">
                  <c:v>758</c:v>
                </c:pt>
                <c:pt idx="3">
                  <c:v>767</c:v>
                </c:pt>
                <c:pt idx="4">
                  <c:v>777</c:v>
                </c:pt>
                <c:pt idx="5">
                  <c:v>786</c:v>
                </c:pt>
                <c:pt idx="6">
                  <c:v>796</c:v>
                </c:pt>
                <c:pt idx="7">
                  <c:v>806</c:v>
                </c:pt>
                <c:pt idx="8">
                  <c:v>816</c:v>
                </c:pt>
                <c:pt idx="9">
                  <c:v>826</c:v>
                </c:pt>
                <c:pt idx="10">
                  <c:v>837</c:v>
                </c:pt>
                <c:pt idx="11">
                  <c:v>847</c:v>
                </c:pt>
                <c:pt idx="12">
                  <c:v>858</c:v>
                </c:pt>
                <c:pt idx="13">
                  <c:v>868</c:v>
                </c:pt>
                <c:pt idx="14">
                  <c:v>879</c:v>
                </c:pt>
                <c:pt idx="15">
                  <c:v>890</c:v>
                </c:pt>
                <c:pt idx="16">
                  <c:v>901</c:v>
                </c:pt>
                <c:pt idx="17">
                  <c:v>913</c:v>
                </c:pt>
                <c:pt idx="18">
                  <c:v>924</c:v>
                </c:pt>
                <c:pt idx="19">
                  <c:v>936</c:v>
                </c:pt>
                <c:pt idx="20">
                  <c:v>947</c:v>
                </c:pt>
                <c:pt idx="21">
                  <c:v>959</c:v>
                </c:pt>
                <c:pt idx="22">
                  <c:v>971</c:v>
                </c:pt>
                <c:pt idx="23">
                  <c:v>983</c:v>
                </c:pt>
                <c:pt idx="24">
                  <c:v>996</c:v>
                </c:pt>
                <c:pt idx="25">
                  <c:v>1008</c:v>
                </c:pt>
                <c:pt idx="26">
                  <c:v>1021</c:v>
                </c:pt>
                <c:pt idx="27">
                  <c:v>1034</c:v>
                </c:pt>
                <c:pt idx="28">
                  <c:v>1047</c:v>
                </c:pt>
                <c:pt idx="29">
                  <c:v>1060</c:v>
                </c:pt>
                <c:pt idx="30">
                  <c:v>1074</c:v>
                </c:pt>
                <c:pt idx="31">
                  <c:v>1087</c:v>
                </c:pt>
                <c:pt idx="32">
                  <c:v>1101</c:v>
                </c:pt>
                <c:pt idx="33">
                  <c:v>1116</c:v>
                </c:pt>
                <c:pt idx="34">
                  <c:v>1130</c:v>
                </c:pt>
                <c:pt idx="35">
                  <c:v>1145</c:v>
                </c:pt>
                <c:pt idx="36">
                  <c:v>1161</c:v>
                </c:pt>
                <c:pt idx="37">
                  <c:v>1176</c:v>
                </c:pt>
                <c:pt idx="38">
                  <c:v>1193</c:v>
                </c:pt>
                <c:pt idx="39">
                  <c:v>1209</c:v>
                </c:pt>
                <c:pt idx="40">
                  <c:v>1226</c:v>
                </c:pt>
                <c:pt idx="41">
                  <c:v>1244</c:v>
                </c:pt>
                <c:pt idx="42">
                  <c:v>1262</c:v>
                </c:pt>
                <c:pt idx="43">
                  <c:v>1280</c:v>
                </c:pt>
                <c:pt idx="44">
                  <c:v>1299</c:v>
                </c:pt>
                <c:pt idx="45">
                  <c:v>1319</c:v>
                </c:pt>
                <c:pt idx="46">
                  <c:v>1339</c:v>
                </c:pt>
                <c:pt idx="47">
                  <c:v>1361</c:v>
                </c:pt>
                <c:pt idx="48">
                  <c:v>1383</c:v>
                </c:pt>
                <c:pt idx="49">
                  <c:v>1405</c:v>
                </c:pt>
                <c:pt idx="50">
                  <c:v>1429</c:v>
                </c:pt>
                <c:pt idx="51">
                  <c:v>1453</c:v>
                </c:pt>
                <c:pt idx="52">
                  <c:v>1479</c:v>
                </c:pt>
                <c:pt idx="53">
                  <c:v>1505</c:v>
                </c:pt>
                <c:pt idx="54">
                  <c:v>1533</c:v>
                </c:pt>
                <c:pt idx="55">
                  <c:v>1562</c:v>
                </c:pt>
                <c:pt idx="56">
                  <c:v>1592</c:v>
                </c:pt>
                <c:pt idx="57">
                  <c:v>1623</c:v>
                </c:pt>
                <c:pt idx="58">
                  <c:v>1655</c:v>
                </c:pt>
                <c:pt idx="59">
                  <c:v>1689</c:v>
                </c:pt>
                <c:pt idx="60">
                  <c:v>1725</c:v>
                </c:pt>
              </c:numCache>
            </c:numRef>
          </c:yVal>
          <c:smooth val="0"/>
        </c:ser>
        <c:dLbls>
          <c:showLegendKey val="0"/>
          <c:showVal val="0"/>
          <c:showCatName val="0"/>
          <c:showSerName val="0"/>
          <c:showPercent val="0"/>
          <c:showBubbleSize val="0"/>
        </c:dLbls>
        <c:axId val="146958208"/>
        <c:axId val="146959744"/>
      </c:scatterChart>
      <c:valAx>
        <c:axId val="146958208"/>
        <c:scaling>
          <c:orientation val="minMax"/>
          <c:max val="51"/>
          <c:min val="20"/>
        </c:scaling>
        <c:delete val="0"/>
        <c:axPos val="b"/>
        <c:numFmt formatCode="General" sourceLinked="1"/>
        <c:majorTickMark val="out"/>
        <c:minorTickMark val="none"/>
        <c:tickLblPos val="nextTo"/>
        <c:txPr>
          <a:bodyPr rot="-6000000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crossAx val="146959744"/>
        <c:crosses val="autoZero"/>
        <c:crossBetween val="midCat"/>
        <c:majorUnit val="5"/>
      </c:valAx>
      <c:valAx>
        <c:axId val="146959744"/>
        <c:scaling>
          <c:orientation val="minMax"/>
          <c:max val="1800"/>
          <c:min val="720"/>
        </c:scaling>
        <c:delete val="0"/>
        <c:axPos val="l"/>
        <c:majorGridlines/>
        <c:numFmt formatCode="General" sourceLinked="1"/>
        <c:majorTickMark val="out"/>
        <c:minorTickMark val="none"/>
        <c:tickLblPos val="nextTo"/>
        <c:txPr>
          <a:bodyPr rot="-6000000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crossAx val="146958208"/>
        <c:crosses val="autoZero"/>
        <c:crossBetween val="midCat"/>
        <c:majorUnit val="100"/>
      </c:valAx>
    </c:plotArea>
    <c:legend>
      <c:legendPos val="r"/>
      <c:layout/>
      <c:overlay val="0"/>
      <c:txPr>
        <a:bodyPr rot="0" spcFirstLastPara="0" vertOverflow="ellipsis" vert="horz" wrap="square" anchor="ctr" anchorCtr="1"/>
        <a:lstStyle/>
        <a:p>
          <a:pPr>
            <a:defRPr lang="zh-CN" sz="1000" b="0" i="0" u="none" strike="noStrike" kern="1200" baseline="0">
              <a:solidFill>
                <a:schemeClr val="tx1"/>
              </a:solidFill>
              <a:latin typeface="+mn-lt"/>
              <a:ea typeface="+mn-ea"/>
              <a:cs typeface="+mn-cs"/>
            </a:defRPr>
          </a:pPr>
        </a:p>
      </c:txPr>
    </c:legend>
    <c:plotVisOnly val="1"/>
    <c:dispBlanksAs val="gap"/>
    <c:showDLblsOverMax val="0"/>
  </c:chart>
  <c:txPr>
    <a:bodyPr/>
    <a:lstStyle/>
    <a:p>
      <a:pPr>
        <a:defRPr lang="zh-CN"/>
      </a:pPr>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9" Type="http://schemas.openxmlformats.org/officeDocument/2006/relationships/image" Target="../media/image84.png"/><Relationship Id="rId8" Type="http://schemas.openxmlformats.org/officeDocument/2006/relationships/image" Target="../media/image83.png"/><Relationship Id="rId7" Type="http://schemas.openxmlformats.org/officeDocument/2006/relationships/image" Target="../media/image82.png"/><Relationship Id="rId6" Type="http://schemas.openxmlformats.org/officeDocument/2006/relationships/image" Target="../media/image81.png"/><Relationship Id="rId5" Type="http://schemas.openxmlformats.org/officeDocument/2006/relationships/image" Target="../media/image80.png"/><Relationship Id="rId4" Type="http://schemas.openxmlformats.org/officeDocument/2006/relationships/image" Target="../media/image79.png"/><Relationship Id="rId3" Type="http://schemas.openxmlformats.org/officeDocument/2006/relationships/image" Target="../media/image78.png"/><Relationship Id="rId2" Type="http://schemas.openxmlformats.org/officeDocument/2006/relationships/image" Target="../media/image77.png"/><Relationship Id="rId18" Type="http://schemas.openxmlformats.org/officeDocument/2006/relationships/hyperlink" Target="#&#30446;&#24405;!A1"/><Relationship Id="rId17" Type="http://schemas.openxmlformats.org/officeDocument/2006/relationships/image" Target="../media/image92.png"/><Relationship Id="rId16" Type="http://schemas.openxmlformats.org/officeDocument/2006/relationships/image" Target="../media/image91.png"/><Relationship Id="rId15" Type="http://schemas.openxmlformats.org/officeDocument/2006/relationships/image" Target="../media/image90.png"/><Relationship Id="rId14" Type="http://schemas.openxmlformats.org/officeDocument/2006/relationships/image" Target="../media/image89.png"/><Relationship Id="rId13" Type="http://schemas.openxmlformats.org/officeDocument/2006/relationships/image" Target="../media/image88.png"/><Relationship Id="rId12" Type="http://schemas.openxmlformats.org/officeDocument/2006/relationships/image" Target="../media/image87.png"/><Relationship Id="rId11" Type="http://schemas.openxmlformats.org/officeDocument/2006/relationships/image" Target="../media/image86.png"/><Relationship Id="rId10" Type="http://schemas.openxmlformats.org/officeDocument/2006/relationships/image" Target="../media/image85.png"/><Relationship Id="rId1" Type="http://schemas.openxmlformats.org/officeDocument/2006/relationships/image" Target="../media/image76.jpeg"/></Relationships>
</file>

<file path=xl/drawings/_rels/drawing11.xml.rels><?xml version="1.0" encoding="UTF-8" standalone="yes"?>
<Relationships xmlns="http://schemas.openxmlformats.org/package/2006/relationships"><Relationship Id="rId6" Type="http://schemas.openxmlformats.org/officeDocument/2006/relationships/hyperlink" Target="#&#30446;&#24405;!A1"/><Relationship Id="rId5" Type="http://schemas.openxmlformats.org/officeDocument/2006/relationships/image" Target="../media/image97.png"/><Relationship Id="rId4" Type="http://schemas.openxmlformats.org/officeDocument/2006/relationships/image" Target="../media/image96.png"/><Relationship Id="rId3" Type="http://schemas.openxmlformats.org/officeDocument/2006/relationships/image" Target="../media/image95.png"/><Relationship Id="rId2" Type="http://schemas.openxmlformats.org/officeDocument/2006/relationships/image" Target="../media/image94.png"/><Relationship Id="rId1" Type="http://schemas.openxmlformats.org/officeDocument/2006/relationships/image" Target="../media/image93.png"/></Relationships>
</file>

<file path=xl/drawings/_rels/drawing12.xml.rels><?xml version="1.0" encoding="UTF-8" standalone="yes"?>
<Relationships xmlns="http://schemas.openxmlformats.org/package/2006/relationships"><Relationship Id="rId9" Type="http://schemas.openxmlformats.org/officeDocument/2006/relationships/image" Target="../media/image106.png"/><Relationship Id="rId8" Type="http://schemas.openxmlformats.org/officeDocument/2006/relationships/image" Target="../media/image105.png"/><Relationship Id="rId7" Type="http://schemas.openxmlformats.org/officeDocument/2006/relationships/image" Target="../media/image104.png"/><Relationship Id="rId6" Type="http://schemas.openxmlformats.org/officeDocument/2006/relationships/image" Target="../media/image103.png"/><Relationship Id="rId5" Type="http://schemas.openxmlformats.org/officeDocument/2006/relationships/image" Target="../media/image102.png"/><Relationship Id="rId4" Type="http://schemas.openxmlformats.org/officeDocument/2006/relationships/image" Target="../media/image101.png"/><Relationship Id="rId3" Type="http://schemas.openxmlformats.org/officeDocument/2006/relationships/image" Target="../media/image100.png"/><Relationship Id="rId2" Type="http://schemas.openxmlformats.org/officeDocument/2006/relationships/image" Target="../media/image99.png"/><Relationship Id="rId19" Type="http://schemas.openxmlformats.org/officeDocument/2006/relationships/hyperlink" Target="#&#30446;&#24405;!A1"/><Relationship Id="rId18" Type="http://schemas.openxmlformats.org/officeDocument/2006/relationships/image" Target="../media/image115.png"/><Relationship Id="rId17" Type="http://schemas.openxmlformats.org/officeDocument/2006/relationships/image" Target="../media/image114.png"/><Relationship Id="rId16" Type="http://schemas.openxmlformats.org/officeDocument/2006/relationships/image" Target="../media/image113.png"/><Relationship Id="rId15" Type="http://schemas.openxmlformats.org/officeDocument/2006/relationships/image" Target="../media/image112.png"/><Relationship Id="rId14" Type="http://schemas.openxmlformats.org/officeDocument/2006/relationships/image" Target="../media/image111.png"/><Relationship Id="rId13" Type="http://schemas.openxmlformats.org/officeDocument/2006/relationships/image" Target="../media/image110.png"/><Relationship Id="rId12" Type="http://schemas.openxmlformats.org/officeDocument/2006/relationships/image" Target="../media/image109.png"/><Relationship Id="rId11" Type="http://schemas.openxmlformats.org/officeDocument/2006/relationships/image" Target="../media/image108.png"/><Relationship Id="rId10" Type="http://schemas.openxmlformats.org/officeDocument/2006/relationships/image" Target="../media/image107.png"/><Relationship Id="rId1" Type="http://schemas.openxmlformats.org/officeDocument/2006/relationships/image" Target="../media/image98.png"/></Relationships>
</file>

<file path=xl/drawings/_rels/drawing13.xml.rels><?xml version="1.0" encoding="UTF-8" standalone="yes"?>
<Relationships xmlns="http://schemas.openxmlformats.org/package/2006/relationships"><Relationship Id="rId9" Type="http://schemas.openxmlformats.org/officeDocument/2006/relationships/image" Target="../media/image120.png"/><Relationship Id="rId8" Type="http://schemas.openxmlformats.org/officeDocument/2006/relationships/image" Target="../media/image119.png"/><Relationship Id="rId7" Type="http://schemas.openxmlformats.org/officeDocument/2006/relationships/image" Target="../media/image118.png"/><Relationship Id="rId6" Type="http://schemas.openxmlformats.org/officeDocument/2006/relationships/image" Target="../media/image117.png"/><Relationship Id="rId5" Type="http://schemas.openxmlformats.org/officeDocument/2006/relationships/image" Target="../media/image116.png"/><Relationship Id="rId4" Type="http://schemas.openxmlformats.org/officeDocument/2006/relationships/image" Target="../media/image114.png"/><Relationship Id="rId3" Type="http://schemas.openxmlformats.org/officeDocument/2006/relationships/image" Target="../media/image113.png"/><Relationship Id="rId24" Type="http://schemas.openxmlformats.org/officeDocument/2006/relationships/hyperlink" Target="#&#30446;&#24405;!A1"/><Relationship Id="rId23" Type="http://schemas.openxmlformats.org/officeDocument/2006/relationships/image" Target="../media/image134.png"/><Relationship Id="rId22" Type="http://schemas.openxmlformats.org/officeDocument/2006/relationships/image" Target="../media/image133.png"/><Relationship Id="rId21" Type="http://schemas.openxmlformats.org/officeDocument/2006/relationships/image" Target="../media/image132.png"/><Relationship Id="rId20" Type="http://schemas.openxmlformats.org/officeDocument/2006/relationships/image" Target="../media/image131.png"/><Relationship Id="rId2" Type="http://schemas.openxmlformats.org/officeDocument/2006/relationships/image" Target="../media/image112.png"/><Relationship Id="rId19" Type="http://schemas.openxmlformats.org/officeDocument/2006/relationships/image" Target="../media/image130.png"/><Relationship Id="rId18" Type="http://schemas.openxmlformats.org/officeDocument/2006/relationships/image" Target="../media/image129.png"/><Relationship Id="rId17" Type="http://schemas.openxmlformats.org/officeDocument/2006/relationships/image" Target="../media/image128.png"/><Relationship Id="rId16" Type="http://schemas.openxmlformats.org/officeDocument/2006/relationships/image" Target="../media/image127.png"/><Relationship Id="rId15" Type="http://schemas.openxmlformats.org/officeDocument/2006/relationships/image" Target="../media/image126.png"/><Relationship Id="rId14" Type="http://schemas.openxmlformats.org/officeDocument/2006/relationships/image" Target="../media/image125.png"/><Relationship Id="rId13" Type="http://schemas.openxmlformats.org/officeDocument/2006/relationships/image" Target="../media/image124.png"/><Relationship Id="rId12" Type="http://schemas.openxmlformats.org/officeDocument/2006/relationships/image" Target="../media/image123.png"/><Relationship Id="rId11" Type="http://schemas.openxmlformats.org/officeDocument/2006/relationships/image" Target="../media/image122.png"/><Relationship Id="rId10" Type="http://schemas.openxmlformats.org/officeDocument/2006/relationships/image" Target="../media/image121.png"/><Relationship Id="rId1" Type="http://schemas.openxmlformats.org/officeDocument/2006/relationships/image" Target="../media/image111.png"/></Relationships>
</file>

<file path=xl/drawings/_rels/drawing14.xml.rels><?xml version="1.0" encoding="UTF-8" standalone="yes"?>
<Relationships xmlns="http://schemas.openxmlformats.org/package/2006/relationships"><Relationship Id="rId9" Type="http://schemas.openxmlformats.org/officeDocument/2006/relationships/image" Target="../media/image143.png"/><Relationship Id="rId8" Type="http://schemas.openxmlformats.org/officeDocument/2006/relationships/image" Target="../media/image142.png"/><Relationship Id="rId7" Type="http://schemas.openxmlformats.org/officeDocument/2006/relationships/image" Target="../media/image141.png"/><Relationship Id="rId6" Type="http://schemas.openxmlformats.org/officeDocument/2006/relationships/image" Target="../media/image140.png"/><Relationship Id="rId5" Type="http://schemas.openxmlformats.org/officeDocument/2006/relationships/image" Target="../media/image139.png"/><Relationship Id="rId4" Type="http://schemas.openxmlformats.org/officeDocument/2006/relationships/image" Target="../media/image138.png"/><Relationship Id="rId3" Type="http://schemas.openxmlformats.org/officeDocument/2006/relationships/image" Target="../media/image137.png"/><Relationship Id="rId2" Type="http://schemas.openxmlformats.org/officeDocument/2006/relationships/image" Target="../media/image136.png"/><Relationship Id="rId16" Type="http://schemas.openxmlformats.org/officeDocument/2006/relationships/hyperlink" Target="#&#30446;&#24405;!A1"/><Relationship Id="rId15" Type="http://schemas.openxmlformats.org/officeDocument/2006/relationships/image" Target="../media/image149.png"/><Relationship Id="rId14" Type="http://schemas.openxmlformats.org/officeDocument/2006/relationships/image" Target="../media/image148.png"/><Relationship Id="rId13" Type="http://schemas.openxmlformats.org/officeDocument/2006/relationships/image" Target="../media/image147.png"/><Relationship Id="rId12" Type="http://schemas.openxmlformats.org/officeDocument/2006/relationships/image" Target="../media/image146.png"/><Relationship Id="rId11" Type="http://schemas.openxmlformats.org/officeDocument/2006/relationships/image" Target="../media/image145.png"/><Relationship Id="rId10" Type="http://schemas.openxmlformats.org/officeDocument/2006/relationships/image" Target="../media/image144.png"/><Relationship Id="rId1" Type="http://schemas.openxmlformats.org/officeDocument/2006/relationships/image" Target="../media/image135.png"/></Relationships>
</file>

<file path=xl/drawings/_rels/drawing15.xml.rels><?xml version="1.0" encoding="UTF-8" standalone="yes"?>
<Relationships xmlns="http://schemas.openxmlformats.org/package/2006/relationships"><Relationship Id="rId9" Type="http://schemas.openxmlformats.org/officeDocument/2006/relationships/image" Target="../media/image158.png"/><Relationship Id="rId8" Type="http://schemas.openxmlformats.org/officeDocument/2006/relationships/image" Target="../media/image157.png"/><Relationship Id="rId7" Type="http://schemas.openxmlformats.org/officeDocument/2006/relationships/image" Target="../media/image156.png"/><Relationship Id="rId6" Type="http://schemas.openxmlformats.org/officeDocument/2006/relationships/image" Target="../media/image155.png"/><Relationship Id="rId5" Type="http://schemas.openxmlformats.org/officeDocument/2006/relationships/image" Target="../media/image154.png"/><Relationship Id="rId4" Type="http://schemas.openxmlformats.org/officeDocument/2006/relationships/image" Target="../media/image153.png"/><Relationship Id="rId3" Type="http://schemas.openxmlformats.org/officeDocument/2006/relationships/image" Target="../media/image152.png"/><Relationship Id="rId2" Type="http://schemas.openxmlformats.org/officeDocument/2006/relationships/image" Target="../media/image151.png"/><Relationship Id="rId11" Type="http://schemas.openxmlformats.org/officeDocument/2006/relationships/image" Target="../media/image159.png"/><Relationship Id="rId10" Type="http://schemas.openxmlformats.org/officeDocument/2006/relationships/hyperlink" Target="#&#30446;&#24405;!A1"/><Relationship Id="rId1" Type="http://schemas.openxmlformats.org/officeDocument/2006/relationships/image" Target="../media/image150.jpeg"/></Relationships>
</file>

<file path=xl/drawings/_rels/drawing16.xml.rels><?xml version="1.0" encoding="UTF-8" standalone="yes"?>
<Relationships xmlns="http://schemas.openxmlformats.org/package/2006/relationships"><Relationship Id="rId9" Type="http://schemas.openxmlformats.org/officeDocument/2006/relationships/image" Target="../media/image168.png"/><Relationship Id="rId8" Type="http://schemas.openxmlformats.org/officeDocument/2006/relationships/image" Target="../media/image167.png"/><Relationship Id="rId7" Type="http://schemas.openxmlformats.org/officeDocument/2006/relationships/image" Target="../media/image166.png"/><Relationship Id="rId6" Type="http://schemas.openxmlformats.org/officeDocument/2006/relationships/image" Target="../media/image165.png"/><Relationship Id="rId5" Type="http://schemas.openxmlformats.org/officeDocument/2006/relationships/image" Target="../media/image164.png"/><Relationship Id="rId4" Type="http://schemas.openxmlformats.org/officeDocument/2006/relationships/image" Target="../media/image163.png"/><Relationship Id="rId3" Type="http://schemas.openxmlformats.org/officeDocument/2006/relationships/image" Target="../media/image162.jpeg"/><Relationship Id="rId2" Type="http://schemas.openxmlformats.org/officeDocument/2006/relationships/image" Target="../media/image161.png"/><Relationship Id="rId10" Type="http://schemas.openxmlformats.org/officeDocument/2006/relationships/hyperlink" Target="#&#30446;&#24405;!A1"/><Relationship Id="rId1" Type="http://schemas.openxmlformats.org/officeDocument/2006/relationships/image" Target="../media/image160.png"/></Relationships>
</file>

<file path=xl/drawings/_rels/drawing17.xml.rels><?xml version="1.0" encoding="UTF-8" standalone="yes"?>
<Relationships xmlns="http://schemas.openxmlformats.org/package/2006/relationships"><Relationship Id="rId9" Type="http://schemas.openxmlformats.org/officeDocument/2006/relationships/image" Target="../media/image177.png"/><Relationship Id="rId8" Type="http://schemas.openxmlformats.org/officeDocument/2006/relationships/image" Target="../media/image176.png"/><Relationship Id="rId7" Type="http://schemas.openxmlformats.org/officeDocument/2006/relationships/image" Target="../media/image175.png"/><Relationship Id="rId6" Type="http://schemas.openxmlformats.org/officeDocument/2006/relationships/image" Target="../media/image174.png"/><Relationship Id="rId5" Type="http://schemas.openxmlformats.org/officeDocument/2006/relationships/image" Target="../media/image173.png"/><Relationship Id="rId4" Type="http://schemas.openxmlformats.org/officeDocument/2006/relationships/image" Target="../media/image172.png"/><Relationship Id="rId3" Type="http://schemas.openxmlformats.org/officeDocument/2006/relationships/image" Target="../media/image171.png"/><Relationship Id="rId2" Type="http://schemas.openxmlformats.org/officeDocument/2006/relationships/image" Target="../media/image170.png"/><Relationship Id="rId10" Type="http://schemas.openxmlformats.org/officeDocument/2006/relationships/hyperlink" Target="#&#30446;&#24405;!A1"/><Relationship Id="rId1" Type="http://schemas.openxmlformats.org/officeDocument/2006/relationships/image" Target="../media/image169.png"/></Relationships>
</file>

<file path=xl/drawings/_rels/drawing18.xml.rels><?xml version="1.0" encoding="UTF-8" standalone="yes"?>
<Relationships xmlns="http://schemas.openxmlformats.org/package/2006/relationships"><Relationship Id="rId9" Type="http://schemas.openxmlformats.org/officeDocument/2006/relationships/image" Target="../media/image186.png"/><Relationship Id="rId8" Type="http://schemas.openxmlformats.org/officeDocument/2006/relationships/image" Target="../media/image185.png"/><Relationship Id="rId7" Type="http://schemas.openxmlformats.org/officeDocument/2006/relationships/image" Target="../media/image184.png"/><Relationship Id="rId6" Type="http://schemas.openxmlformats.org/officeDocument/2006/relationships/image" Target="../media/image183.png"/><Relationship Id="rId5" Type="http://schemas.openxmlformats.org/officeDocument/2006/relationships/image" Target="../media/image182.png"/><Relationship Id="rId4" Type="http://schemas.openxmlformats.org/officeDocument/2006/relationships/image" Target="../media/image181.png"/><Relationship Id="rId3" Type="http://schemas.openxmlformats.org/officeDocument/2006/relationships/image" Target="../media/image180.png"/><Relationship Id="rId2" Type="http://schemas.openxmlformats.org/officeDocument/2006/relationships/image" Target="../media/image179.png"/><Relationship Id="rId17" Type="http://schemas.openxmlformats.org/officeDocument/2006/relationships/hyperlink" Target="#&#30446;&#24405;!A1"/><Relationship Id="rId16" Type="http://schemas.openxmlformats.org/officeDocument/2006/relationships/image" Target="../media/image193.png"/><Relationship Id="rId15" Type="http://schemas.openxmlformats.org/officeDocument/2006/relationships/image" Target="../media/image192.png"/><Relationship Id="rId14" Type="http://schemas.openxmlformats.org/officeDocument/2006/relationships/image" Target="../media/image191.png"/><Relationship Id="rId13" Type="http://schemas.openxmlformats.org/officeDocument/2006/relationships/image" Target="../media/image190.png"/><Relationship Id="rId12" Type="http://schemas.openxmlformats.org/officeDocument/2006/relationships/image" Target="../media/image189.png"/><Relationship Id="rId11" Type="http://schemas.openxmlformats.org/officeDocument/2006/relationships/image" Target="../media/image188.png"/><Relationship Id="rId10" Type="http://schemas.openxmlformats.org/officeDocument/2006/relationships/image" Target="../media/image187.png"/><Relationship Id="rId1" Type="http://schemas.openxmlformats.org/officeDocument/2006/relationships/image" Target="../media/image178.png"/></Relationships>
</file>

<file path=xl/drawings/_rels/drawing19.xml.rels><?xml version="1.0" encoding="UTF-8" standalone="yes"?>
<Relationships xmlns="http://schemas.openxmlformats.org/package/2006/relationships"><Relationship Id="rId9" Type="http://schemas.openxmlformats.org/officeDocument/2006/relationships/image" Target="../media/image202.png"/><Relationship Id="rId8" Type="http://schemas.openxmlformats.org/officeDocument/2006/relationships/image" Target="../media/image201.png"/><Relationship Id="rId7" Type="http://schemas.openxmlformats.org/officeDocument/2006/relationships/image" Target="../media/image200.png"/><Relationship Id="rId6" Type="http://schemas.openxmlformats.org/officeDocument/2006/relationships/image" Target="../media/image199.png"/><Relationship Id="rId5" Type="http://schemas.openxmlformats.org/officeDocument/2006/relationships/image" Target="../media/image198.png"/><Relationship Id="rId4" Type="http://schemas.openxmlformats.org/officeDocument/2006/relationships/image" Target="../media/image197.png"/><Relationship Id="rId3" Type="http://schemas.openxmlformats.org/officeDocument/2006/relationships/image" Target="../media/image196.png"/><Relationship Id="rId2" Type="http://schemas.openxmlformats.org/officeDocument/2006/relationships/image" Target="../media/image195.png"/><Relationship Id="rId14" Type="http://schemas.openxmlformats.org/officeDocument/2006/relationships/hyperlink" Target="#&#30446;&#24405;!A1"/><Relationship Id="rId13" Type="http://schemas.openxmlformats.org/officeDocument/2006/relationships/image" Target="../media/image206.png"/><Relationship Id="rId12" Type="http://schemas.openxmlformats.org/officeDocument/2006/relationships/image" Target="../media/image205.png"/><Relationship Id="rId11" Type="http://schemas.openxmlformats.org/officeDocument/2006/relationships/image" Target="../media/image204.png"/><Relationship Id="rId10" Type="http://schemas.openxmlformats.org/officeDocument/2006/relationships/image" Target="../media/image203.png"/><Relationship Id="rId1" Type="http://schemas.openxmlformats.org/officeDocument/2006/relationships/image" Target="../media/image194.png"/></Relationships>
</file>

<file path=xl/drawings/_rels/drawing2.xml.rels><?xml version="1.0" encoding="UTF-8" standalone="yes"?>
<Relationships xmlns="http://schemas.openxmlformats.org/package/2006/relationships"><Relationship Id="rId1" Type="http://schemas.openxmlformats.org/officeDocument/2006/relationships/hyperlink" Target="#&#30446;&#24405;!A1"/></Relationships>
</file>

<file path=xl/drawings/_rels/drawing20.xml.rels><?xml version="1.0" encoding="UTF-8" standalone="yes"?>
<Relationships xmlns="http://schemas.openxmlformats.org/package/2006/relationships"><Relationship Id="rId4" Type="http://schemas.openxmlformats.org/officeDocument/2006/relationships/hyperlink" Target="#&#30446;&#24405;!A1"/><Relationship Id="rId3" Type="http://schemas.openxmlformats.org/officeDocument/2006/relationships/image" Target="../media/image209.png"/><Relationship Id="rId2" Type="http://schemas.openxmlformats.org/officeDocument/2006/relationships/image" Target="../media/image208.png"/><Relationship Id="rId1" Type="http://schemas.openxmlformats.org/officeDocument/2006/relationships/image" Target="../media/image207.png"/></Relationships>
</file>

<file path=xl/drawings/_rels/drawing21.xml.rels><?xml version="1.0" encoding="UTF-8" standalone="yes"?>
<Relationships xmlns="http://schemas.openxmlformats.org/package/2006/relationships"><Relationship Id="rId5" Type="http://schemas.openxmlformats.org/officeDocument/2006/relationships/hyperlink" Target="#&#30446;&#24405;!A1"/><Relationship Id="rId4" Type="http://schemas.openxmlformats.org/officeDocument/2006/relationships/image" Target="../media/image212.png"/><Relationship Id="rId3" Type="http://schemas.openxmlformats.org/officeDocument/2006/relationships/image" Target="../media/image211.png"/><Relationship Id="rId2" Type="http://schemas.openxmlformats.org/officeDocument/2006/relationships/image" Target="../media/image210.png"/><Relationship Id="rId1" Type="http://schemas.openxmlformats.org/officeDocument/2006/relationships/image" Target="../media/image143.png"/></Relationships>
</file>

<file path=xl/drawings/_rels/drawing22.xml.rels><?xml version="1.0" encoding="UTF-8" standalone="yes"?>
<Relationships xmlns="http://schemas.openxmlformats.org/package/2006/relationships"><Relationship Id="rId9" Type="http://schemas.openxmlformats.org/officeDocument/2006/relationships/image" Target="../media/image219.png"/><Relationship Id="rId8" Type="http://schemas.openxmlformats.org/officeDocument/2006/relationships/image" Target="../media/image218.png"/><Relationship Id="rId7" Type="http://schemas.openxmlformats.org/officeDocument/2006/relationships/image" Target="../media/image217.png"/><Relationship Id="rId6" Type="http://schemas.openxmlformats.org/officeDocument/2006/relationships/image" Target="../media/image216.png"/><Relationship Id="rId5" Type="http://schemas.openxmlformats.org/officeDocument/2006/relationships/image" Target="../media/image215.png"/><Relationship Id="rId4" Type="http://schemas.openxmlformats.org/officeDocument/2006/relationships/image" Target="../media/image214.png"/><Relationship Id="rId3" Type="http://schemas.openxmlformats.org/officeDocument/2006/relationships/image" Target="../media/image213.png"/><Relationship Id="rId2" Type="http://schemas.openxmlformats.org/officeDocument/2006/relationships/image" Target="../media/image143.png"/><Relationship Id="rId16" Type="http://schemas.openxmlformats.org/officeDocument/2006/relationships/hyperlink" Target="#&#30446;&#24405;!A1"/><Relationship Id="rId15" Type="http://schemas.openxmlformats.org/officeDocument/2006/relationships/image" Target="../media/image225.png"/><Relationship Id="rId14" Type="http://schemas.openxmlformats.org/officeDocument/2006/relationships/image" Target="../media/image224.png"/><Relationship Id="rId13" Type="http://schemas.openxmlformats.org/officeDocument/2006/relationships/image" Target="../media/image223.png"/><Relationship Id="rId12" Type="http://schemas.openxmlformats.org/officeDocument/2006/relationships/image" Target="../media/image222.png"/><Relationship Id="rId11" Type="http://schemas.openxmlformats.org/officeDocument/2006/relationships/image" Target="../media/image221.png"/><Relationship Id="rId10" Type="http://schemas.openxmlformats.org/officeDocument/2006/relationships/image" Target="../media/image220.png"/><Relationship Id="rId1" Type="http://schemas.openxmlformats.org/officeDocument/2006/relationships/image" Target="../media/image140.png"/></Relationships>
</file>

<file path=xl/drawings/_rels/drawing23.xml.rels><?xml version="1.0" encoding="UTF-8" standalone="yes"?>
<Relationships xmlns="http://schemas.openxmlformats.org/package/2006/relationships"><Relationship Id="rId5" Type="http://schemas.openxmlformats.org/officeDocument/2006/relationships/hyperlink" Target="#&#30446;&#24405;!A1"/><Relationship Id="rId4" Type="http://schemas.openxmlformats.org/officeDocument/2006/relationships/image" Target="../media/image226.png"/><Relationship Id="rId3" Type="http://schemas.openxmlformats.org/officeDocument/2006/relationships/image" Target="../media/image225.png"/><Relationship Id="rId2" Type="http://schemas.openxmlformats.org/officeDocument/2006/relationships/image" Target="../media/image143.png"/><Relationship Id="rId1" Type="http://schemas.openxmlformats.org/officeDocument/2006/relationships/image" Target="../media/image140.png"/></Relationships>
</file>

<file path=xl/drawings/_rels/drawing24.xml.rels><?xml version="1.0" encoding="UTF-8" standalone="yes"?>
<Relationships xmlns="http://schemas.openxmlformats.org/package/2006/relationships"><Relationship Id="rId9" Type="http://schemas.openxmlformats.org/officeDocument/2006/relationships/image" Target="../media/image239.png"/><Relationship Id="rId8" Type="http://schemas.openxmlformats.org/officeDocument/2006/relationships/image" Target="../media/image238.jpeg"/><Relationship Id="rId7" Type="http://schemas.openxmlformats.org/officeDocument/2006/relationships/image" Target="../media/image237.png"/><Relationship Id="rId6" Type="http://schemas.openxmlformats.org/officeDocument/2006/relationships/image" Target="../media/image236.png"/><Relationship Id="rId5" Type="http://schemas.openxmlformats.org/officeDocument/2006/relationships/image" Target="../media/image235.png"/><Relationship Id="rId4" Type="http://schemas.openxmlformats.org/officeDocument/2006/relationships/image" Target="../media/image234.jpeg"/><Relationship Id="rId3" Type="http://schemas.openxmlformats.org/officeDocument/2006/relationships/image" Target="../media/image233.png"/><Relationship Id="rId2" Type="http://schemas.openxmlformats.org/officeDocument/2006/relationships/image" Target="../media/image143.png"/><Relationship Id="rId11" Type="http://schemas.openxmlformats.org/officeDocument/2006/relationships/hyperlink" Target="#&#30446;&#24405;!A1"/><Relationship Id="rId10" Type="http://schemas.openxmlformats.org/officeDocument/2006/relationships/image" Target="../media/image240.png"/><Relationship Id="rId1" Type="http://schemas.openxmlformats.org/officeDocument/2006/relationships/image" Target="../media/image140.png"/></Relationships>
</file>

<file path=xl/drawings/_rels/drawing25.xml.rels><?xml version="1.0" encoding="UTF-8" standalone="yes"?>
<Relationships xmlns="http://schemas.openxmlformats.org/package/2006/relationships"><Relationship Id="rId9" Type="http://schemas.openxmlformats.org/officeDocument/2006/relationships/hyperlink" Target="#&#30446;&#24405;!A1"/><Relationship Id="rId8" Type="http://schemas.openxmlformats.org/officeDocument/2006/relationships/image" Target="../media/image248.png"/><Relationship Id="rId7" Type="http://schemas.openxmlformats.org/officeDocument/2006/relationships/image" Target="../media/image247.png"/><Relationship Id="rId6" Type="http://schemas.openxmlformats.org/officeDocument/2006/relationships/image" Target="../media/image246.png"/><Relationship Id="rId5" Type="http://schemas.openxmlformats.org/officeDocument/2006/relationships/image" Target="../media/image245.png"/><Relationship Id="rId4" Type="http://schemas.openxmlformats.org/officeDocument/2006/relationships/image" Target="../media/image244.png"/><Relationship Id="rId3" Type="http://schemas.openxmlformats.org/officeDocument/2006/relationships/image" Target="../media/image243.jpeg"/><Relationship Id="rId2" Type="http://schemas.openxmlformats.org/officeDocument/2006/relationships/image" Target="../media/image242.png"/><Relationship Id="rId1" Type="http://schemas.openxmlformats.org/officeDocument/2006/relationships/image" Target="../media/image241.png"/></Relationships>
</file>

<file path=xl/drawings/_rels/drawing26.xml.rels><?xml version="1.0" encoding="UTF-8" standalone="yes"?>
<Relationships xmlns="http://schemas.openxmlformats.org/package/2006/relationships"><Relationship Id="rId9" Type="http://schemas.openxmlformats.org/officeDocument/2006/relationships/image" Target="../media/image257.png"/><Relationship Id="rId8" Type="http://schemas.openxmlformats.org/officeDocument/2006/relationships/image" Target="../media/image256.png"/><Relationship Id="rId7" Type="http://schemas.openxmlformats.org/officeDocument/2006/relationships/image" Target="../media/image255.png"/><Relationship Id="rId6" Type="http://schemas.openxmlformats.org/officeDocument/2006/relationships/image" Target="../media/image254.png"/><Relationship Id="rId5" Type="http://schemas.openxmlformats.org/officeDocument/2006/relationships/image" Target="../media/image253.png"/><Relationship Id="rId4" Type="http://schemas.openxmlformats.org/officeDocument/2006/relationships/image" Target="../media/image252.png"/><Relationship Id="rId3" Type="http://schemas.openxmlformats.org/officeDocument/2006/relationships/image" Target="../media/image251.png"/><Relationship Id="rId2" Type="http://schemas.openxmlformats.org/officeDocument/2006/relationships/image" Target="../media/image250.png"/><Relationship Id="rId16" Type="http://schemas.openxmlformats.org/officeDocument/2006/relationships/hyperlink" Target="#&#30446;&#24405;!A1"/><Relationship Id="rId15" Type="http://schemas.openxmlformats.org/officeDocument/2006/relationships/image" Target="../media/image245.png"/><Relationship Id="rId14" Type="http://schemas.openxmlformats.org/officeDocument/2006/relationships/image" Target="../media/image244.png"/><Relationship Id="rId13" Type="http://schemas.openxmlformats.org/officeDocument/2006/relationships/image" Target="../media/image246.png"/><Relationship Id="rId12" Type="http://schemas.openxmlformats.org/officeDocument/2006/relationships/image" Target="../media/image260.png"/><Relationship Id="rId11" Type="http://schemas.openxmlformats.org/officeDocument/2006/relationships/image" Target="../media/image259.png"/><Relationship Id="rId10" Type="http://schemas.openxmlformats.org/officeDocument/2006/relationships/image" Target="../media/image258.png"/><Relationship Id="rId1" Type="http://schemas.openxmlformats.org/officeDocument/2006/relationships/image" Target="../media/image249.png"/></Relationships>
</file>

<file path=xl/drawings/_rels/drawing27.xml.rels><?xml version="1.0" encoding="UTF-8" standalone="yes"?>
<Relationships xmlns="http://schemas.openxmlformats.org/package/2006/relationships"><Relationship Id="rId9" Type="http://schemas.openxmlformats.org/officeDocument/2006/relationships/image" Target="../media/image257.png"/><Relationship Id="rId8" Type="http://schemas.openxmlformats.org/officeDocument/2006/relationships/image" Target="../media/image256.png"/><Relationship Id="rId7" Type="http://schemas.openxmlformats.org/officeDocument/2006/relationships/image" Target="../media/image255.png"/><Relationship Id="rId6" Type="http://schemas.openxmlformats.org/officeDocument/2006/relationships/image" Target="../media/image254.png"/><Relationship Id="rId5" Type="http://schemas.openxmlformats.org/officeDocument/2006/relationships/image" Target="../media/image253.png"/><Relationship Id="rId4" Type="http://schemas.openxmlformats.org/officeDocument/2006/relationships/image" Target="../media/image252.png"/><Relationship Id="rId3" Type="http://schemas.openxmlformats.org/officeDocument/2006/relationships/image" Target="../media/image251.png"/><Relationship Id="rId2" Type="http://schemas.openxmlformats.org/officeDocument/2006/relationships/image" Target="../media/image250.png"/><Relationship Id="rId16" Type="http://schemas.openxmlformats.org/officeDocument/2006/relationships/hyperlink" Target="#&#30446;&#24405;!A1"/><Relationship Id="rId15" Type="http://schemas.openxmlformats.org/officeDocument/2006/relationships/image" Target="../media/image262.png"/><Relationship Id="rId14" Type="http://schemas.openxmlformats.org/officeDocument/2006/relationships/image" Target="../media/image261.png"/><Relationship Id="rId13" Type="http://schemas.openxmlformats.org/officeDocument/2006/relationships/image" Target="../media/image245.png"/><Relationship Id="rId12" Type="http://schemas.openxmlformats.org/officeDocument/2006/relationships/image" Target="../media/image244.png"/><Relationship Id="rId11" Type="http://schemas.openxmlformats.org/officeDocument/2006/relationships/image" Target="../media/image246.png"/><Relationship Id="rId10" Type="http://schemas.openxmlformats.org/officeDocument/2006/relationships/image" Target="../media/image260.png"/><Relationship Id="rId1" Type="http://schemas.openxmlformats.org/officeDocument/2006/relationships/image" Target="../media/image249.png"/></Relationships>
</file>

<file path=xl/drawings/_rels/drawing28.xml.rels><?xml version="1.0" encoding="UTF-8" standalone="yes"?>
<Relationships xmlns="http://schemas.openxmlformats.org/package/2006/relationships"><Relationship Id="rId9" Type="http://schemas.openxmlformats.org/officeDocument/2006/relationships/image" Target="../media/image257.png"/><Relationship Id="rId8" Type="http://schemas.openxmlformats.org/officeDocument/2006/relationships/image" Target="../media/image256.png"/><Relationship Id="rId7" Type="http://schemas.openxmlformats.org/officeDocument/2006/relationships/image" Target="../media/image255.png"/><Relationship Id="rId6" Type="http://schemas.openxmlformats.org/officeDocument/2006/relationships/image" Target="../media/image254.png"/><Relationship Id="rId5" Type="http://schemas.openxmlformats.org/officeDocument/2006/relationships/image" Target="../media/image253.png"/><Relationship Id="rId4" Type="http://schemas.openxmlformats.org/officeDocument/2006/relationships/image" Target="../media/image252.png"/><Relationship Id="rId3" Type="http://schemas.openxmlformats.org/officeDocument/2006/relationships/image" Target="../media/image251.png"/><Relationship Id="rId2" Type="http://schemas.openxmlformats.org/officeDocument/2006/relationships/image" Target="../media/image250.png"/><Relationship Id="rId16" Type="http://schemas.openxmlformats.org/officeDocument/2006/relationships/hyperlink" Target="#&#30446;&#24405;!A1"/><Relationship Id="rId15" Type="http://schemas.openxmlformats.org/officeDocument/2006/relationships/image" Target="../media/image264.png"/><Relationship Id="rId14" Type="http://schemas.openxmlformats.org/officeDocument/2006/relationships/image" Target="../media/image263.png"/><Relationship Id="rId13" Type="http://schemas.openxmlformats.org/officeDocument/2006/relationships/image" Target="../media/image245.png"/><Relationship Id="rId12" Type="http://schemas.openxmlformats.org/officeDocument/2006/relationships/image" Target="../media/image244.png"/><Relationship Id="rId11" Type="http://schemas.openxmlformats.org/officeDocument/2006/relationships/image" Target="../media/image246.png"/><Relationship Id="rId10" Type="http://schemas.openxmlformats.org/officeDocument/2006/relationships/image" Target="../media/image260.png"/><Relationship Id="rId1" Type="http://schemas.openxmlformats.org/officeDocument/2006/relationships/image" Target="../media/image249.png"/></Relationships>
</file>

<file path=xl/drawings/_rels/drawing29.xml.rels><?xml version="1.0" encoding="UTF-8" standalone="yes"?>
<Relationships xmlns="http://schemas.openxmlformats.org/package/2006/relationships"><Relationship Id="rId9" Type="http://schemas.openxmlformats.org/officeDocument/2006/relationships/image" Target="../media/image273.png"/><Relationship Id="rId8" Type="http://schemas.openxmlformats.org/officeDocument/2006/relationships/image" Target="../media/image272.png"/><Relationship Id="rId7" Type="http://schemas.openxmlformats.org/officeDocument/2006/relationships/image" Target="../media/image271.png"/><Relationship Id="rId6" Type="http://schemas.openxmlformats.org/officeDocument/2006/relationships/image" Target="../media/image270.png"/><Relationship Id="rId5" Type="http://schemas.openxmlformats.org/officeDocument/2006/relationships/image" Target="../media/image269.png"/><Relationship Id="rId4" Type="http://schemas.openxmlformats.org/officeDocument/2006/relationships/image" Target="../media/image268.png"/><Relationship Id="rId3" Type="http://schemas.openxmlformats.org/officeDocument/2006/relationships/image" Target="../media/image267.png"/><Relationship Id="rId2" Type="http://schemas.openxmlformats.org/officeDocument/2006/relationships/image" Target="../media/image266.png"/><Relationship Id="rId12" Type="http://schemas.openxmlformats.org/officeDocument/2006/relationships/hyperlink" Target="#&#30446;&#24405;!A1"/><Relationship Id="rId11" Type="http://schemas.openxmlformats.org/officeDocument/2006/relationships/image" Target="../media/image275.png"/><Relationship Id="rId10" Type="http://schemas.openxmlformats.org/officeDocument/2006/relationships/image" Target="../media/image274.png"/><Relationship Id="rId1" Type="http://schemas.openxmlformats.org/officeDocument/2006/relationships/image" Target="../media/image265.png"/></Relationships>
</file>

<file path=xl/drawings/_rels/drawing3.xml.rels><?xml version="1.0" encoding="UTF-8" standalone="yes"?>
<Relationships xmlns="http://schemas.openxmlformats.org/package/2006/relationships"><Relationship Id="rId9" Type="http://schemas.openxmlformats.org/officeDocument/2006/relationships/image" Target="../media/image10.png"/><Relationship Id="rId8" Type="http://schemas.openxmlformats.org/officeDocument/2006/relationships/image" Target="../media/image9.png"/><Relationship Id="rId7" Type="http://schemas.openxmlformats.org/officeDocument/2006/relationships/image" Target="../media/image8.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 Id="rId3" Type="http://schemas.openxmlformats.org/officeDocument/2006/relationships/image" Target="../media/image4.png"/><Relationship Id="rId25" Type="http://schemas.openxmlformats.org/officeDocument/2006/relationships/hyperlink" Target="#&#30446;&#24405;!A1"/><Relationship Id="rId24" Type="http://schemas.openxmlformats.org/officeDocument/2006/relationships/image" Target="../media/image25.png"/><Relationship Id="rId23" Type="http://schemas.openxmlformats.org/officeDocument/2006/relationships/image" Target="../media/image24.png"/><Relationship Id="rId22" Type="http://schemas.openxmlformats.org/officeDocument/2006/relationships/image" Target="../media/image23.png"/><Relationship Id="rId21" Type="http://schemas.openxmlformats.org/officeDocument/2006/relationships/image" Target="../media/image22.png"/><Relationship Id="rId20" Type="http://schemas.openxmlformats.org/officeDocument/2006/relationships/image" Target="../media/image21.png"/><Relationship Id="rId2" Type="http://schemas.openxmlformats.org/officeDocument/2006/relationships/image" Target="../media/image3.png"/><Relationship Id="rId19" Type="http://schemas.openxmlformats.org/officeDocument/2006/relationships/image" Target="../media/image20.png"/><Relationship Id="rId18" Type="http://schemas.openxmlformats.org/officeDocument/2006/relationships/image" Target="../media/image19.png"/><Relationship Id="rId17" Type="http://schemas.openxmlformats.org/officeDocument/2006/relationships/image" Target="../media/image18.png"/><Relationship Id="rId16" Type="http://schemas.openxmlformats.org/officeDocument/2006/relationships/image" Target="../media/image17.png"/><Relationship Id="rId15" Type="http://schemas.openxmlformats.org/officeDocument/2006/relationships/image" Target="../media/image16.png"/><Relationship Id="rId14" Type="http://schemas.openxmlformats.org/officeDocument/2006/relationships/image" Target="../media/image15.png"/><Relationship Id="rId13" Type="http://schemas.openxmlformats.org/officeDocument/2006/relationships/image" Target="../media/image14.png"/><Relationship Id="rId12" Type="http://schemas.openxmlformats.org/officeDocument/2006/relationships/image" Target="../media/image13.png"/><Relationship Id="rId11" Type="http://schemas.openxmlformats.org/officeDocument/2006/relationships/image" Target="../media/image12.png"/><Relationship Id="rId10" Type="http://schemas.openxmlformats.org/officeDocument/2006/relationships/image" Target="../media/image11.png"/><Relationship Id="rId1" Type="http://schemas.openxmlformats.org/officeDocument/2006/relationships/image" Target="../media/image2.png"/></Relationships>
</file>

<file path=xl/drawings/_rels/drawing30.xml.rels><?xml version="1.0" encoding="UTF-8" standalone="yes"?>
<Relationships xmlns="http://schemas.openxmlformats.org/package/2006/relationships"><Relationship Id="rId9" Type="http://schemas.openxmlformats.org/officeDocument/2006/relationships/image" Target="../media/image284.emf"/><Relationship Id="rId8" Type="http://schemas.openxmlformats.org/officeDocument/2006/relationships/image" Target="../media/image283.png"/><Relationship Id="rId7" Type="http://schemas.openxmlformats.org/officeDocument/2006/relationships/image" Target="../media/image282.png"/><Relationship Id="rId6" Type="http://schemas.openxmlformats.org/officeDocument/2006/relationships/image" Target="../media/image281.png"/><Relationship Id="rId5" Type="http://schemas.openxmlformats.org/officeDocument/2006/relationships/image" Target="../media/image266.png"/><Relationship Id="rId4" Type="http://schemas.openxmlformats.org/officeDocument/2006/relationships/image" Target="../media/image280.png"/><Relationship Id="rId3" Type="http://schemas.openxmlformats.org/officeDocument/2006/relationships/image" Target="../media/image279.png"/><Relationship Id="rId2" Type="http://schemas.openxmlformats.org/officeDocument/2006/relationships/image" Target="../media/image278.png"/><Relationship Id="rId16" Type="http://schemas.openxmlformats.org/officeDocument/2006/relationships/hyperlink" Target="#&#30446;&#24405;!A1"/><Relationship Id="rId15" Type="http://schemas.openxmlformats.org/officeDocument/2006/relationships/image" Target="../media/image274.png"/><Relationship Id="rId14" Type="http://schemas.openxmlformats.org/officeDocument/2006/relationships/image" Target="../media/image289.png"/><Relationship Id="rId13" Type="http://schemas.openxmlformats.org/officeDocument/2006/relationships/image" Target="../media/image288.png"/><Relationship Id="rId12" Type="http://schemas.openxmlformats.org/officeDocument/2006/relationships/image" Target="../media/image287.png"/><Relationship Id="rId11" Type="http://schemas.openxmlformats.org/officeDocument/2006/relationships/image" Target="../media/image286.png"/><Relationship Id="rId10" Type="http://schemas.openxmlformats.org/officeDocument/2006/relationships/image" Target="../media/image285.png"/><Relationship Id="rId1" Type="http://schemas.openxmlformats.org/officeDocument/2006/relationships/image" Target="../media/image277.png"/></Relationships>
</file>

<file path=xl/drawings/_rels/drawing31.xml.rels><?xml version="1.0" encoding="UTF-8" standalone="yes"?>
<Relationships xmlns="http://schemas.openxmlformats.org/package/2006/relationships"><Relationship Id="rId9" Type="http://schemas.openxmlformats.org/officeDocument/2006/relationships/image" Target="../media/image298.png"/><Relationship Id="rId8" Type="http://schemas.openxmlformats.org/officeDocument/2006/relationships/image" Target="../media/image297.png"/><Relationship Id="rId7" Type="http://schemas.openxmlformats.org/officeDocument/2006/relationships/image" Target="../media/image296.png"/><Relationship Id="rId6" Type="http://schemas.openxmlformats.org/officeDocument/2006/relationships/image" Target="../media/image295.png"/><Relationship Id="rId5" Type="http://schemas.openxmlformats.org/officeDocument/2006/relationships/image" Target="../media/image294.png"/><Relationship Id="rId4" Type="http://schemas.openxmlformats.org/officeDocument/2006/relationships/image" Target="../media/image293.png"/><Relationship Id="rId3" Type="http://schemas.openxmlformats.org/officeDocument/2006/relationships/image" Target="../media/image292.png"/><Relationship Id="rId22" Type="http://schemas.openxmlformats.org/officeDocument/2006/relationships/hyperlink" Target="#&#30446;&#24405;!A1"/><Relationship Id="rId21" Type="http://schemas.openxmlformats.org/officeDocument/2006/relationships/image" Target="../media/image309.png"/><Relationship Id="rId20" Type="http://schemas.openxmlformats.org/officeDocument/2006/relationships/image" Target="../media/image308.png"/><Relationship Id="rId2" Type="http://schemas.openxmlformats.org/officeDocument/2006/relationships/image" Target="../media/image291.png"/><Relationship Id="rId19" Type="http://schemas.openxmlformats.org/officeDocument/2006/relationships/image" Target="../media/image307.png"/><Relationship Id="rId18" Type="http://schemas.openxmlformats.org/officeDocument/2006/relationships/image" Target="../media/image306.png"/><Relationship Id="rId17" Type="http://schemas.openxmlformats.org/officeDocument/2006/relationships/image" Target="../media/image305.png"/><Relationship Id="rId16" Type="http://schemas.openxmlformats.org/officeDocument/2006/relationships/image" Target="../media/image304.png"/><Relationship Id="rId15" Type="http://schemas.openxmlformats.org/officeDocument/2006/relationships/image" Target="../media/image303.png"/><Relationship Id="rId14" Type="http://schemas.openxmlformats.org/officeDocument/2006/relationships/image" Target="../media/image302.png"/><Relationship Id="rId13" Type="http://schemas.openxmlformats.org/officeDocument/2006/relationships/image" Target="../media/image289.png"/><Relationship Id="rId12" Type="http://schemas.openxmlformats.org/officeDocument/2006/relationships/image" Target="../media/image301.png"/><Relationship Id="rId11" Type="http://schemas.openxmlformats.org/officeDocument/2006/relationships/image" Target="../media/image300.png"/><Relationship Id="rId10" Type="http://schemas.openxmlformats.org/officeDocument/2006/relationships/image" Target="../media/image299.png"/><Relationship Id="rId1" Type="http://schemas.openxmlformats.org/officeDocument/2006/relationships/image" Target="../media/image290.png"/></Relationships>
</file>

<file path=xl/drawings/_rels/drawing32.xml.rels><?xml version="1.0" encoding="UTF-8" standalone="yes"?>
<Relationships xmlns="http://schemas.openxmlformats.org/package/2006/relationships"><Relationship Id="rId3" Type="http://schemas.openxmlformats.org/officeDocument/2006/relationships/hyperlink" Target="#&#30446;&#24405;!A1"/><Relationship Id="rId2" Type="http://schemas.openxmlformats.org/officeDocument/2006/relationships/chart" Target="../charts/chart2.xml"/><Relationship Id="rId1" Type="http://schemas.openxmlformats.org/officeDocument/2006/relationships/chart" Target="../charts/chart1.xml"/></Relationships>
</file>

<file path=xl/drawings/_rels/drawing33.xml.rels><?xml version="1.0" encoding="UTF-8" standalone="yes"?>
<Relationships xmlns="http://schemas.openxmlformats.org/package/2006/relationships"><Relationship Id="rId9" Type="http://schemas.openxmlformats.org/officeDocument/2006/relationships/image" Target="../media/image318.png"/><Relationship Id="rId8" Type="http://schemas.openxmlformats.org/officeDocument/2006/relationships/image" Target="../media/image317.png"/><Relationship Id="rId7" Type="http://schemas.openxmlformats.org/officeDocument/2006/relationships/image" Target="../media/image316.png"/><Relationship Id="rId6" Type="http://schemas.openxmlformats.org/officeDocument/2006/relationships/image" Target="../media/image315.png"/><Relationship Id="rId5" Type="http://schemas.openxmlformats.org/officeDocument/2006/relationships/image" Target="../media/image314.png"/><Relationship Id="rId4" Type="http://schemas.openxmlformats.org/officeDocument/2006/relationships/image" Target="../media/image313.png"/><Relationship Id="rId3" Type="http://schemas.openxmlformats.org/officeDocument/2006/relationships/image" Target="../media/image312.png"/><Relationship Id="rId2" Type="http://schemas.openxmlformats.org/officeDocument/2006/relationships/image" Target="../media/image311.png"/><Relationship Id="rId13" Type="http://schemas.openxmlformats.org/officeDocument/2006/relationships/hyperlink" Target="#&#30446;&#24405;!A1"/><Relationship Id="rId12" Type="http://schemas.openxmlformats.org/officeDocument/2006/relationships/image" Target="../media/image321.png"/><Relationship Id="rId11" Type="http://schemas.openxmlformats.org/officeDocument/2006/relationships/image" Target="../media/image320.png"/><Relationship Id="rId10" Type="http://schemas.openxmlformats.org/officeDocument/2006/relationships/image" Target="../media/image319.png"/><Relationship Id="rId1" Type="http://schemas.openxmlformats.org/officeDocument/2006/relationships/image" Target="../media/image310.png"/></Relationships>
</file>

<file path=xl/drawings/_rels/drawing34.xml.rels><?xml version="1.0" encoding="UTF-8" standalone="yes"?>
<Relationships xmlns="http://schemas.openxmlformats.org/package/2006/relationships"><Relationship Id="rId1" Type="http://schemas.openxmlformats.org/officeDocument/2006/relationships/hyperlink" Target="#&#30446;&#24405;!A1"/></Relationships>
</file>

<file path=xl/drawings/_rels/drawing35.xml.rels><?xml version="1.0" encoding="UTF-8" standalone="yes"?>
<Relationships xmlns="http://schemas.openxmlformats.org/package/2006/relationships"><Relationship Id="rId9" Type="http://schemas.openxmlformats.org/officeDocument/2006/relationships/image" Target="../media/image330.png"/><Relationship Id="rId8" Type="http://schemas.openxmlformats.org/officeDocument/2006/relationships/image" Target="../media/image329.png"/><Relationship Id="rId7" Type="http://schemas.openxmlformats.org/officeDocument/2006/relationships/image" Target="../media/image328.png"/><Relationship Id="rId6" Type="http://schemas.openxmlformats.org/officeDocument/2006/relationships/image" Target="../media/image327.png"/><Relationship Id="rId5" Type="http://schemas.openxmlformats.org/officeDocument/2006/relationships/image" Target="../media/image326.png"/><Relationship Id="rId4" Type="http://schemas.openxmlformats.org/officeDocument/2006/relationships/image" Target="../media/image325.png"/><Relationship Id="rId3" Type="http://schemas.openxmlformats.org/officeDocument/2006/relationships/image" Target="../media/image324.png"/><Relationship Id="rId25" Type="http://schemas.openxmlformats.org/officeDocument/2006/relationships/hyperlink" Target="#&#30446;&#24405;!A1"/><Relationship Id="rId24" Type="http://schemas.openxmlformats.org/officeDocument/2006/relationships/image" Target="../media/image289.png"/><Relationship Id="rId23" Type="http://schemas.openxmlformats.org/officeDocument/2006/relationships/image" Target="../media/image344.png"/><Relationship Id="rId22" Type="http://schemas.openxmlformats.org/officeDocument/2006/relationships/image" Target="../media/image343.png"/><Relationship Id="rId21" Type="http://schemas.openxmlformats.org/officeDocument/2006/relationships/image" Target="../media/image342.png"/><Relationship Id="rId20" Type="http://schemas.openxmlformats.org/officeDocument/2006/relationships/image" Target="../media/image341.png"/><Relationship Id="rId2" Type="http://schemas.openxmlformats.org/officeDocument/2006/relationships/image" Target="../media/image323.png"/><Relationship Id="rId19" Type="http://schemas.openxmlformats.org/officeDocument/2006/relationships/image" Target="../media/image340.png"/><Relationship Id="rId18" Type="http://schemas.openxmlformats.org/officeDocument/2006/relationships/image" Target="../media/image339.png"/><Relationship Id="rId17" Type="http://schemas.openxmlformats.org/officeDocument/2006/relationships/image" Target="../media/image338.png"/><Relationship Id="rId16" Type="http://schemas.openxmlformats.org/officeDocument/2006/relationships/image" Target="../media/image337.png"/><Relationship Id="rId15" Type="http://schemas.openxmlformats.org/officeDocument/2006/relationships/image" Target="../media/image336.png"/><Relationship Id="rId14" Type="http://schemas.openxmlformats.org/officeDocument/2006/relationships/image" Target="../media/image335.png"/><Relationship Id="rId13" Type="http://schemas.openxmlformats.org/officeDocument/2006/relationships/image" Target="../media/image334.png"/><Relationship Id="rId12" Type="http://schemas.openxmlformats.org/officeDocument/2006/relationships/image" Target="../media/image333.png"/><Relationship Id="rId11" Type="http://schemas.openxmlformats.org/officeDocument/2006/relationships/image" Target="../media/image332.png"/><Relationship Id="rId10" Type="http://schemas.openxmlformats.org/officeDocument/2006/relationships/image" Target="../media/image331.png"/><Relationship Id="rId1" Type="http://schemas.openxmlformats.org/officeDocument/2006/relationships/image" Target="../media/image322.png"/></Relationships>
</file>

<file path=xl/drawings/_rels/drawing4.xml.rels><?xml version="1.0" encoding="UTF-8" standalone="yes"?>
<Relationships xmlns="http://schemas.openxmlformats.org/package/2006/relationships"><Relationship Id="rId9" Type="http://schemas.openxmlformats.org/officeDocument/2006/relationships/image" Target="../media/image37.png"/><Relationship Id="rId8" Type="http://schemas.openxmlformats.org/officeDocument/2006/relationships/image" Target="../media/image36.png"/><Relationship Id="rId7" Type="http://schemas.openxmlformats.org/officeDocument/2006/relationships/image" Target="../media/image35.png"/><Relationship Id="rId6"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32.png"/><Relationship Id="rId3" Type="http://schemas.openxmlformats.org/officeDocument/2006/relationships/image" Target="../media/image31.png"/><Relationship Id="rId2" Type="http://schemas.openxmlformats.org/officeDocument/2006/relationships/image" Target="../media/image30.png"/><Relationship Id="rId11" Type="http://schemas.openxmlformats.org/officeDocument/2006/relationships/hyperlink" Target="#&#30446;&#24405;!A1"/><Relationship Id="rId10" Type="http://schemas.openxmlformats.org/officeDocument/2006/relationships/image" Target="../media/image38.png"/><Relationship Id="rId1" Type="http://schemas.openxmlformats.org/officeDocument/2006/relationships/image" Target="../media/image29.png"/></Relationships>
</file>

<file path=xl/drawings/_rels/drawing5.xml.rels><?xml version="1.0" encoding="UTF-8" standalone="yes"?>
<Relationships xmlns="http://schemas.openxmlformats.org/package/2006/relationships"><Relationship Id="rId8" Type="http://schemas.openxmlformats.org/officeDocument/2006/relationships/hyperlink" Target="#&#30446;&#24405;!A1"/><Relationship Id="rId7" Type="http://schemas.openxmlformats.org/officeDocument/2006/relationships/image" Target="../media/image35.png"/><Relationship Id="rId6"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32.png"/><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6.xml.rels><?xml version="1.0" encoding="UTF-8" standalone="yes"?>
<Relationships xmlns="http://schemas.openxmlformats.org/package/2006/relationships"><Relationship Id="rId2" Type="http://schemas.openxmlformats.org/officeDocument/2006/relationships/hyperlink" Target="#&#30446;&#24405;!A1"/><Relationship Id="rId1" Type="http://schemas.openxmlformats.org/officeDocument/2006/relationships/image" Target="../media/image50.png"/></Relationships>
</file>

<file path=xl/drawings/_rels/drawing7.xml.rels><?xml version="1.0" encoding="UTF-8" standalone="yes"?>
<Relationships xmlns="http://schemas.openxmlformats.org/package/2006/relationships"><Relationship Id="rId2" Type="http://schemas.openxmlformats.org/officeDocument/2006/relationships/hyperlink" Target="#&#30446;&#24405;!A1"/><Relationship Id="rId1" Type="http://schemas.openxmlformats.org/officeDocument/2006/relationships/image" Target="../media/image56.png"/></Relationships>
</file>

<file path=xl/drawings/_rels/drawing8.xml.rels><?xml version="1.0" encoding="UTF-8" standalone="yes"?>
<Relationships xmlns="http://schemas.openxmlformats.org/package/2006/relationships"><Relationship Id="rId9" Type="http://schemas.openxmlformats.org/officeDocument/2006/relationships/image" Target="../media/image64.emf"/><Relationship Id="rId8" Type="http://schemas.openxmlformats.org/officeDocument/2006/relationships/hyperlink" Target="#&#30446;&#24405;!A1"/><Relationship Id="rId7" Type="http://schemas.openxmlformats.org/officeDocument/2006/relationships/image" Target="../media/image63.png"/><Relationship Id="rId6" Type="http://schemas.openxmlformats.org/officeDocument/2006/relationships/image" Target="../media/image62.png"/><Relationship Id="rId5" Type="http://schemas.openxmlformats.org/officeDocument/2006/relationships/image" Target="../media/image61.png"/><Relationship Id="rId4" Type="http://schemas.openxmlformats.org/officeDocument/2006/relationships/image" Target="../media/image60.png"/><Relationship Id="rId3" Type="http://schemas.openxmlformats.org/officeDocument/2006/relationships/image" Target="../media/image59.jpeg"/><Relationship Id="rId2" Type="http://schemas.openxmlformats.org/officeDocument/2006/relationships/image" Target="../media/image58.png"/><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5" Type="http://schemas.openxmlformats.org/officeDocument/2006/relationships/hyperlink" Target="#&#30446;&#24405;!A1"/><Relationship Id="rId4" Type="http://schemas.openxmlformats.org/officeDocument/2006/relationships/image" Target="../media/image74.png"/><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28.emf"/><Relationship Id="rId2" Type="http://schemas.openxmlformats.org/officeDocument/2006/relationships/image" Target="../media/image27.emf"/><Relationship Id="rId1" Type="http://schemas.openxmlformats.org/officeDocument/2006/relationships/image" Target="../media/image26.emf"/></Relationships>
</file>

<file path=xl/drawings/_rels/vmlDrawing10.vml.rels><?xml version="1.0" encoding="UTF-8" standalone="yes"?>
<Relationships xmlns="http://schemas.openxmlformats.org/package/2006/relationships"><Relationship Id="rId6" Type="http://schemas.openxmlformats.org/officeDocument/2006/relationships/image" Target="../media/image232.emf"/><Relationship Id="rId5" Type="http://schemas.openxmlformats.org/officeDocument/2006/relationships/image" Target="../media/image231.emf"/><Relationship Id="rId4" Type="http://schemas.openxmlformats.org/officeDocument/2006/relationships/image" Target="../media/image230.emf"/><Relationship Id="rId3" Type="http://schemas.openxmlformats.org/officeDocument/2006/relationships/image" Target="../media/image229.emf"/><Relationship Id="rId2" Type="http://schemas.openxmlformats.org/officeDocument/2006/relationships/image" Target="../media/image228.emf"/><Relationship Id="rId1" Type="http://schemas.openxmlformats.org/officeDocument/2006/relationships/image" Target="../media/image227.emf"/></Relationships>
</file>

<file path=xl/drawings/_rels/vmlDrawing12.vml.rels><?xml version="1.0" encoding="UTF-8" standalone="yes"?>
<Relationships xmlns="http://schemas.openxmlformats.org/package/2006/relationships"><Relationship Id="rId1" Type="http://schemas.openxmlformats.org/officeDocument/2006/relationships/image" Target="../media/image276.emf"/></Relationships>
</file>

<file path=xl/drawings/_rels/vmlDrawing13.vml.rels><?xml version="1.0" encoding="UTF-8" standalone="yes"?>
<Relationships xmlns="http://schemas.openxmlformats.org/package/2006/relationships"><Relationship Id="rId9" Type="http://schemas.openxmlformats.org/officeDocument/2006/relationships/image" Target="../media/image353.emf"/><Relationship Id="rId8" Type="http://schemas.openxmlformats.org/officeDocument/2006/relationships/image" Target="../media/image352.emf"/><Relationship Id="rId7" Type="http://schemas.openxmlformats.org/officeDocument/2006/relationships/image" Target="../media/image351.emf"/><Relationship Id="rId6" Type="http://schemas.openxmlformats.org/officeDocument/2006/relationships/image" Target="../media/image350.emf"/><Relationship Id="rId5" Type="http://schemas.openxmlformats.org/officeDocument/2006/relationships/image" Target="../media/image349.emf"/><Relationship Id="rId4" Type="http://schemas.openxmlformats.org/officeDocument/2006/relationships/image" Target="../media/image348.emf"/><Relationship Id="rId3" Type="http://schemas.openxmlformats.org/officeDocument/2006/relationships/image" Target="../media/image347.emf"/><Relationship Id="rId24" Type="http://schemas.openxmlformats.org/officeDocument/2006/relationships/image" Target="../media/image368.emf"/><Relationship Id="rId23" Type="http://schemas.openxmlformats.org/officeDocument/2006/relationships/image" Target="../media/image367.emf"/><Relationship Id="rId22" Type="http://schemas.openxmlformats.org/officeDocument/2006/relationships/image" Target="../media/image366.emf"/><Relationship Id="rId21" Type="http://schemas.openxmlformats.org/officeDocument/2006/relationships/image" Target="../media/image365.emf"/><Relationship Id="rId20" Type="http://schemas.openxmlformats.org/officeDocument/2006/relationships/image" Target="../media/image364.emf"/><Relationship Id="rId2" Type="http://schemas.openxmlformats.org/officeDocument/2006/relationships/image" Target="../media/image346.emf"/><Relationship Id="rId19" Type="http://schemas.openxmlformats.org/officeDocument/2006/relationships/image" Target="../media/image363.emf"/><Relationship Id="rId18" Type="http://schemas.openxmlformats.org/officeDocument/2006/relationships/image" Target="../media/image362.emf"/><Relationship Id="rId17" Type="http://schemas.openxmlformats.org/officeDocument/2006/relationships/image" Target="../media/image361.emf"/><Relationship Id="rId16" Type="http://schemas.openxmlformats.org/officeDocument/2006/relationships/image" Target="../media/image360.emf"/><Relationship Id="rId15" Type="http://schemas.openxmlformats.org/officeDocument/2006/relationships/image" Target="../media/image359.emf"/><Relationship Id="rId14" Type="http://schemas.openxmlformats.org/officeDocument/2006/relationships/image" Target="../media/image358.emf"/><Relationship Id="rId13" Type="http://schemas.openxmlformats.org/officeDocument/2006/relationships/image" Target="../media/image357.emf"/><Relationship Id="rId12" Type="http://schemas.openxmlformats.org/officeDocument/2006/relationships/image" Target="../media/image356.emf"/><Relationship Id="rId11" Type="http://schemas.openxmlformats.org/officeDocument/2006/relationships/image" Target="../media/image355.emf"/><Relationship Id="rId10" Type="http://schemas.openxmlformats.org/officeDocument/2006/relationships/image" Target="../media/image354.emf"/><Relationship Id="rId1" Type="http://schemas.openxmlformats.org/officeDocument/2006/relationships/image" Target="../media/image345.emf"/></Relationships>
</file>

<file path=xl/drawings/_rels/vmlDrawing2.vml.rels><?xml version="1.0" encoding="UTF-8" standalone="yes"?>
<Relationships xmlns="http://schemas.openxmlformats.org/package/2006/relationships"><Relationship Id="rId9" Type="http://schemas.openxmlformats.org/officeDocument/2006/relationships/image" Target="../media/image47.emf"/><Relationship Id="rId8" Type="http://schemas.openxmlformats.org/officeDocument/2006/relationships/image" Target="../media/image46.emf"/><Relationship Id="rId7" Type="http://schemas.openxmlformats.org/officeDocument/2006/relationships/image" Target="../media/image45.emf"/><Relationship Id="rId6" Type="http://schemas.openxmlformats.org/officeDocument/2006/relationships/image" Target="../media/image44.emf"/><Relationship Id="rId5" Type="http://schemas.openxmlformats.org/officeDocument/2006/relationships/image" Target="../media/image43.emf"/><Relationship Id="rId4" Type="http://schemas.openxmlformats.org/officeDocument/2006/relationships/image" Target="../media/image42.emf"/><Relationship Id="rId3" Type="http://schemas.openxmlformats.org/officeDocument/2006/relationships/image" Target="../media/image41.emf"/><Relationship Id="rId2" Type="http://schemas.openxmlformats.org/officeDocument/2006/relationships/image" Target="../media/image40.emf"/><Relationship Id="rId1" Type="http://schemas.openxmlformats.org/officeDocument/2006/relationships/image" Target="../media/image39.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49.emf"/><Relationship Id="rId1" Type="http://schemas.openxmlformats.org/officeDocument/2006/relationships/image" Target="../media/image48.emf"/></Relationships>
</file>

<file path=xl/drawings/_rels/vmlDrawing4.vml.rels><?xml version="1.0" encoding="UTF-8" standalone="yes"?>
<Relationships xmlns="http://schemas.openxmlformats.org/package/2006/relationships"><Relationship Id="rId5" Type="http://schemas.openxmlformats.org/officeDocument/2006/relationships/image" Target="../media/image55.emf"/><Relationship Id="rId4" Type="http://schemas.openxmlformats.org/officeDocument/2006/relationships/image" Target="../media/image54.emf"/><Relationship Id="rId3" Type="http://schemas.openxmlformats.org/officeDocument/2006/relationships/image" Target="../media/image53.emf"/><Relationship Id="rId2" Type="http://schemas.openxmlformats.org/officeDocument/2006/relationships/image" Target="../media/image52.emf"/><Relationship Id="rId1" Type="http://schemas.openxmlformats.org/officeDocument/2006/relationships/image" Target="../media/image51.emf"/></Relationships>
</file>

<file path=xl/drawings/_rels/vmlDrawing5.vml.rels><?xml version="1.0" encoding="UTF-8" standalone="yes"?>
<Relationships xmlns="http://schemas.openxmlformats.org/package/2006/relationships"><Relationship Id="rId6" Type="http://schemas.openxmlformats.org/officeDocument/2006/relationships/image" Target="../media/image70.emf"/><Relationship Id="rId5" Type="http://schemas.openxmlformats.org/officeDocument/2006/relationships/image" Target="../media/image69.emf"/><Relationship Id="rId4" Type="http://schemas.openxmlformats.org/officeDocument/2006/relationships/image" Target="../media/image68.emf"/><Relationship Id="rId3" Type="http://schemas.openxmlformats.org/officeDocument/2006/relationships/image" Target="../media/image67.emf"/><Relationship Id="rId2" Type="http://schemas.openxmlformats.org/officeDocument/2006/relationships/image" Target="../media/image66.emf"/><Relationship Id="rId1" Type="http://schemas.openxmlformats.org/officeDocument/2006/relationships/image" Target="../media/image65.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75.emf"/></Relationships>
</file>

<file path=xl/drawings/_rels/vmlDrawing8.vml.rels><?xml version="1.0" encoding="UTF-8" standalone="yes"?>
<Relationships xmlns="http://schemas.openxmlformats.org/package/2006/relationships"><Relationship Id="rId1" Type="http://schemas.openxmlformats.org/officeDocument/2006/relationships/image" Target="../media/image75.e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19050</xdr:colOff>
      <xdr:row>25</xdr:row>
      <xdr:rowOff>161925</xdr:rowOff>
    </xdr:from>
    <xdr:to>
      <xdr:col>2</xdr:col>
      <xdr:colOff>3609975</xdr:colOff>
      <xdr:row>34</xdr:row>
      <xdr:rowOff>229494</xdr:rowOff>
    </xdr:to>
    <xdr:pic>
      <xdr:nvPicPr>
        <xdr:cNvPr id="49153" name="Picture 1"/>
        <xdr:cNvPicPr>
          <a:picLocks noChangeAspect="1" noChangeArrowheads="1"/>
        </xdr:cNvPicPr>
      </xdr:nvPicPr>
      <xdr:blipFill>
        <a:blip r:embed="rId1" cstate="print"/>
        <a:srcRect/>
        <a:stretch>
          <a:fillRect/>
        </a:stretch>
      </xdr:blipFill>
      <xdr:spPr>
        <a:xfrm>
          <a:off x="2676525" y="6543675"/>
          <a:ext cx="3590925" cy="2364740"/>
        </a:xfrm>
        <a:prstGeom prst="rect">
          <a:avLst/>
        </a:prstGeom>
        <a:noFill/>
        <a:ln w="1">
          <a:noFill/>
          <a:miter lim="800000"/>
          <a:headEnd/>
          <a:tailEnd type="none" w="med" len="med"/>
        </a:ln>
        <a:effectLst/>
      </xdr:spPr>
    </xdr:pic>
    <xdr:clientData/>
  </xdr:twoCellAnchor>
  <xdr:twoCellAnchor>
    <xdr:from>
      <xdr:col>2</xdr:col>
      <xdr:colOff>3295650</xdr:colOff>
      <xdr:row>29</xdr:row>
      <xdr:rowOff>85725</xdr:rowOff>
    </xdr:from>
    <xdr:to>
      <xdr:col>2</xdr:col>
      <xdr:colOff>3867150</xdr:colOff>
      <xdr:row>30</xdr:row>
      <xdr:rowOff>9525</xdr:rowOff>
    </xdr:to>
    <xdr:cxnSp>
      <xdr:nvCxnSpPr>
        <xdr:cNvPr id="4" name="直接箭头连接符 3"/>
        <xdr:cNvCxnSpPr/>
      </xdr:nvCxnSpPr>
      <xdr:spPr>
        <a:xfrm flipV="1">
          <a:off x="5953125" y="7488555"/>
          <a:ext cx="571500" cy="179070"/>
        </a:xfrm>
        <a:prstGeom prst="straightConnector1">
          <a:avLst/>
        </a:prstGeom>
        <a:ln>
          <a:tailEnd type="arrow"/>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3295650</xdr:colOff>
      <xdr:row>27</xdr:row>
      <xdr:rowOff>47625</xdr:rowOff>
    </xdr:from>
    <xdr:to>
      <xdr:col>2</xdr:col>
      <xdr:colOff>3867150</xdr:colOff>
      <xdr:row>27</xdr:row>
      <xdr:rowOff>219075</xdr:rowOff>
    </xdr:to>
    <xdr:cxnSp>
      <xdr:nvCxnSpPr>
        <xdr:cNvPr id="6" name="直接箭头连接符 5"/>
        <xdr:cNvCxnSpPr/>
      </xdr:nvCxnSpPr>
      <xdr:spPr>
        <a:xfrm flipV="1">
          <a:off x="5953125" y="6939915"/>
          <a:ext cx="571500" cy="171450"/>
        </a:xfrm>
        <a:prstGeom prst="straightConnector1">
          <a:avLst/>
        </a:prstGeom>
        <a:ln>
          <a:tailEnd type="arrow"/>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2</xdr:col>
      <xdr:colOff>3305175</xdr:colOff>
      <xdr:row>31</xdr:row>
      <xdr:rowOff>0</xdr:rowOff>
    </xdr:from>
    <xdr:to>
      <xdr:col>2</xdr:col>
      <xdr:colOff>3876675</xdr:colOff>
      <xdr:row>31</xdr:row>
      <xdr:rowOff>171450</xdr:rowOff>
    </xdr:to>
    <xdr:cxnSp>
      <xdr:nvCxnSpPr>
        <xdr:cNvPr id="7" name="直接箭头连接符 6"/>
        <xdr:cNvCxnSpPr/>
      </xdr:nvCxnSpPr>
      <xdr:spPr>
        <a:xfrm flipV="1">
          <a:off x="5962650" y="7913370"/>
          <a:ext cx="571500" cy="171450"/>
        </a:xfrm>
        <a:prstGeom prst="straightConnector1">
          <a:avLst/>
        </a:prstGeom>
        <a:ln>
          <a:tailEnd type="arrow"/>
        </a:ln>
      </xdr:spPr>
      <xdr:style>
        <a:lnRef idx="3">
          <a:schemeClr val="accent6"/>
        </a:lnRef>
        <a:fillRef idx="0">
          <a:schemeClr val="accent6"/>
        </a:fillRef>
        <a:effectRef idx="2">
          <a:schemeClr val="accent6"/>
        </a:effectRef>
        <a:fontRef idx="minor">
          <a:schemeClr val="tx1"/>
        </a:fontRef>
      </xdr:style>
    </xdr:cxnSp>
    <xdr:clientData/>
  </xdr:twoCellAnchor>
  <xdr:oneCellAnchor>
    <xdr:from>
      <xdr:col>2</xdr:col>
      <xdr:colOff>3829050</xdr:colOff>
      <xdr:row>25</xdr:row>
      <xdr:rowOff>171450</xdr:rowOff>
    </xdr:from>
    <xdr:ext cx="1082348" cy="577081"/>
    <xdr:sp>
      <xdr:nvSpPr>
        <xdr:cNvPr id="8" name="TextBox 7"/>
        <xdr:cNvSpPr txBox="1"/>
      </xdr:nvSpPr>
      <xdr:spPr>
        <a:xfrm>
          <a:off x="6486525" y="6553200"/>
          <a:ext cx="1082040" cy="5765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400">
              <a:latin typeface="时尚中黑简体" panose="01010104010101010101" pitchFamily="2" charset="-122"/>
              <a:ea typeface="时尚中黑简体" panose="01010104010101010101" pitchFamily="2" charset="-122"/>
            </a:rPr>
            <a:t>需用户输入</a:t>
          </a:r>
          <a:endParaRPr lang="en-US" altLang="zh-CN" sz="1400">
            <a:latin typeface="时尚中黑简体" panose="01010104010101010101" pitchFamily="2" charset="-122"/>
            <a:ea typeface="时尚中黑简体" panose="01010104010101010101" pitchFamily="2" charset="-122"/>
          </a:endParaRPr>
        </a:p>
        <a:p>
          <a:r>
            <a:rPr lang="zh-CN" altLang="en-US" sz="1400">
              <a:latin typeface="时尚中黑简体" panose="01010104010101010101" pitchFamily="2" charset="-122"/>
              <a:ea typeface="时尚中黑简体" panose="01010104010101010101" pitchFamily="2" charset="-122"/>
            </a:rPr>
            <a:t>的单元格</a:t>
          </a:r>
          <a:endParaRPr lang="zh-CN" altLang="en-US" sz="1400">
            <a:latin typeface="时尚中黑简体" panose="01010104010101010101" pitchFamily="2" charset="-122"/>
            <a:ea typeface="时尚中黑简体" panose="01010104010101010101" pitchFamily="2" charset="-122"/>
          </a:endParaRPr>
        </a:p>
      </xdr:txBody>
    </xdr:sp>
    <xdr:clientData/>
  </xdr:oneCellAnchor>
  <xdr:oneCellAnchor>
    <xdr:from>
      <xdr:col>2</xdr:col>
      <xdr:colOff>3829050</xdr:colOff>
      <xdr:row>27</xdr:row>
      <xdr:rowOff>219075</xdr:rowOff>
    </xdr:from>
    <xdr:ext cx="1082348" cy="577081"/>
    <xdr:sp>
      <xdr:nvSpPr>
        <xdr:cNvPr id="9" name="TextBox 8"/>
        <xdr:cNvSpPr txBox="1"/>
      </xdr:nvSpPr>
      <xdr:spPr>
        <a:xfrm>
          <a:off x="6486525" y="7111365"/>
          <a:ext cx="1082040" cy="5765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400">
              <a:latin typeface="时尚中黑简体" panose="01010104010101010101" pitchFamily="2" charset="-122"/>
              <a:ea typeface="时尚中黑简体" panose="01010104010101010101" pitchFamily="2" charset="-122"/>
            </a:rPr>
            <a:t>用户不能修</a:t>
          </a:r>
          <a:endParaRPr lang="en-US" altLang="zh-CN" sz="1400">
            <a:latin typeface="时尚中黑简体" panose="01010104010101010101" pitchFamily="2" charset="-122"/>
            <a:ea typeface="时尚中黑简体" panose="01010104010101010101" pitchFamily="2" charset="-122"/>
          </a:endParaRPr>
        </a:p>
        <a:p>
          <a:r>
            <a:rPr lang="zh-CN" altLang="en-US" sz="1400">
              <a:latin typeface="时尚中黑简体" panose="01010104010101010101" pitchFamily="2" charset="-122"/>
              <a:ea typeface="时尚中黑简体" panose="01010104010101010101" pitchFamily="2" charset="-122"/>
            </a:rPr>
            <a:t>改的单元格</a:t>
          </a:r>
          <a:endParaRPr lang="zh-CN" altLang="en-US" sz="1400">
            <a:latin typeface="时尚中黑简体" panose="01010104010101010101" pitchFamily="2" charset="-122"/>
            <a:ea typeface="时尚中黑简体" panose="01010104010101010101" pitchFamily="2" charset="-122"/>
          </a:endParaRPr>
        </a:p>
      </xdr:txBody>
    </xdr:sp>
    <xdr:clientData/>
  </xdr:oneCellAnchor>
  <xdr:oneCellAnchor>
    <xdr:from>
      <xdr:col>2</xdr:col>
      <xdr:colOff>3829050</xdr:colOff>
      <xdr:row>29</xdr:row>
      <xdr:rowOff>238125</xdr:rowOff>
    </xdr:from>
    <xdr:ext cx="1082348" cy="819455"/>
    <xdr:sp>
      <xdr:nvSpPr>
        <xdr:cNvPr id="10" name="TextBox 9"/>
        <xdr:cNvSpPr txBox="1"/>
      </xdr:nvSpPr>
      <xdr:spPr>
        <a:xfrm>
          <a:off x="6486525" y="7640955"/>
          <a:ext cx="1082040" cy="8191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400">
              <a:latin typeface="时尚中黑简体" panose="01010104010101010101" pitchFamily="2" charset="-122"/>
              <a:ea typeface="时尚中黑简体" panose="01010104010101010101" pitchFamily="2" charset="-122"/>
            </a:rPr>
            <a:t>点击出现下</a:t>
          </a:r>
          <a:endParaRPr lang="en-US" altLang="zh-CN" sz="1400">
            <a:latin typeface="时尚中黑简体" panose="01010104010101010101" pitchFamily="2" charset="-122"/>
            <a:ea typeface="时尚中黑简体" panose="01010104010101010101" pitchFamily="2" charset="-122"/>
          </a:endParaRPr>
        </a:p>
        <a:p>
          <a:r>
            <a:rPr lang="zh-CN" altLang="en-US" sz="1400">
              <a:latin typeface="时尚中黑简体" panose="01010104010101010101" pitchFamily="2" charset="-122"/>
              <a:ea typeface="时尚中黑简体" panose="01010104010101010101" pitchFamily="2" charset="-122"/>
            </a:rPr>
            <a:t>拉菜单供选</a:t>
          </a:r>
          <a:endParaRPr lang="en-US" altLang="zh-CN" sz="1400">
            <a:latin typeface="时尚中黑简体" panose="01010104010101010101" pitchFamily="2" charset="-122"/>
            <a:ea typeface="时尚中黑简体" panose="01010104010101010101" pitchFamily="2" charset="-122"/>
          </a:endParaRPr>
        </a:p>
        <a:p>
          <a:r>
            <a:rPr lang="zh-CN" altLang="en-US" sz="1400">
              <a:latin typeface="时尚中黑简体" panose="01010104010101010101" pitchFamily="2" charset="-122"/>
              <a:ea typeface="时尚中黑简体" panose="01010104010101010101" pitchFamily="2" charset="-122"/>
            </a:rPr>
            <a:t>择的单元格</a:t>
          </a:r>
          <a:endParaRPr lang="zh-CN" altLang="en-US" sz="1400">
            <a:latin typeface="时尚中黑简体" panose="01010104010101010101" pitchFamily="2" charset="-122"/>
            <a:ea typeface="时尚中黑简体" panose="01010104010101010101" pitchFamily="2" charset="-122"/>
          </a:endParaRPr>
        </a:p>
      </xdr:txBody>
    </xdr:sp>
    <xdr:clientData/>
  </xdr:oneCellAnchor>
  <xdr:oneCellAnchor>
    <xdr:from>
      <xdr:col>2</xdr:col>
      <xdr:colOff>152400</xdr:colOff>
      <xdr:row>24</xdr:row>
      <xdr:rowOff>180975</xdr:rowOff>
    </xdr:from>
    <xdr:ext cx="1062920" cy="275717"/>
    <xdr:sp>
      <xdr:nvSpPr>
        <xdr:cNvPr id="11" name="TextBox 10"/>
        <xdr:cNvSpPr txBox="1"/>
      </xdr:nvSpPr>
      <xdr:spPr>
        <a:xfrm>
          <a:off x="2809875" y="6307455"/>
          <a:ext cx="1062355" cy="2755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100"/>
            <a:t>附图 使用举例</a:t>
          </a:r>
          <a:endParaRPr lang="zh-CN" altLang="en-US" sz="1100"/>
        </a:p>
      </xdr:txBody>
    </xdr:sp>
    <xdr:clientData/>
  </xdr:one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19051</xdr:colOff>
      <xdr:row>3</xdr:row>
      <xdr:rowOff>19050</xdr:rowOff>
    </xdr:from>
    <xdr:to>
      <xdr:col>3</xdr:col>
      <xdr:colOff>1333500</xdr:colOff>
      <xdr:row>6</xdr:row>
      <xdr:rowOff>200025</xdr:rowOff>
    </xdr:to>
    <xdr:pic>
      <xdr:nvPicPr>
        <xdr:cNvPr id="9227" name="Picture 11"/>
        <xdr:cNvPicPr>
          <a:picLocks noChangeAspect="1" noChangeArrowheads="1"/>
        </xdr:cNvPicPr>
      </xdr:nvPicPr>
      <xdr:blipFill>
        <a:blip r:embed="rId1" cstate="print"/>
        <a:srcRect/>
        <a:stretch>
          <a:fillRect/>
        </a:stretch>
      </xdr:blipFill>
      <xdr:spPr>
        <a:xfrm>
          <a:off x="3962400" y="732155"/>
          <a:ext cx="1314450" cy="832485"/>
        </a:xfrm>
        <a:prstGeom prst="rect">
          <a:avLst/>
        </a:prstGeom>
        <a:noFill/>
        <a:ln w="1">
          <a:noFill/>
          <a:miter lim="800000"/>
          <a:headEnd/>
          <a:tailEnd type="none" w="med" len="med"/>
        </a:ln>
        <a:effectLst/>
      </xdr:spPr>
    </xdr:pic>
    <xdr:clientData/>
  </xdr:twoCellAnchor>
  <xdr:twoCellAnchor editAs="oneCell">
    <xdr:from>
      <xdr:col>18</xdr:col>
      <xdr:colOff>647700</xdr:colOff>
      <xdr:row>52</xdr:row>
      <xdr:rowOff>0</xdr:rowOff>
    </xdr:from>
    <xdr:to>
      <xdr:col>26</xdr:col>
      <xdr:colOff>285750</xdr:colOff>
      <xdr:row>83</xdr:row>
      <xdr:rowOff>0</xdr:rowOff>
    </xdr:to>
    <xdr:pic>
      <xdr:nvPicPr>
        <xdr:cNvPr id="9237" name="Picture 21"/>
        <xdr:cNvPicPr>
          <a:picLocks noChangeAspect="1" noChangeArrowheads="1"/>
        </xdr:cNvPicPr>
      </xdr:nvPicPr>
      <xdr:blipFill>
        <a:blip r:embed="rId2" cstate="print"/>
        <a:srcRect/>
        <a:stretch>
          <a:fillRect/>
        </a:stretch>
      </xdr:blipFill>
      <xdr:spPr>
        <a:xfrm>
          <a:off x="14906625" y="10169525"/>
          <a:ext cx="6496050" cy="5901690"/>
        </a:xfrm>
        <a:prstGeom prst="rect">
          <a:avLst/>
        </a:prstGeom>
        <a:noFill/>
        <a:ln w="1">
          <a:noFill/>
          <a:miter lim="800000"/>
          <a:headEnd/>
          <a:tailEnd type="none" w="med" len="med"/>
        </a:ln>
        <a:effectLst/>
      </xdr:spPr>
    </xdr:pic>
    <xdr:clientData/>
  </xdr:twoCellAnchor>
  <xdr:twoCellAnchor editAs="oneCell">
    <xdr:from>
      <xdr:col>18</xdr:col>
      <xdr:colOff>647700</xdr:colOff>
      <xdr:row>62</xdr:row>
      <xdr:rowOff>0</xdr:rowOff>
    </xdr:from>
    <xdr:to>
      <xdr:col>26</xdr:col>
      <xdr:colOff>276225</xdr:colOff>
      <xdr:row>92</xdr:row>
      <xdr:rowOff>28575</xdr:rowOff>
    </xdr:to>
    <xdr:pic>
      <xdr:nvPicPr>
        <xdr:cNvPr id="9239" name="Picture 23"/>
        <xdr:cNvPicPr>
          <a:picLocks noChangeAspect="1" noChangeArrowheads="1"/>
        </xdr:cNvPicPr>
      </xdr:nvPicPr>
      <xdr:blipFill>
        <a:blip r:embed="rId3" cstate="print"/>
        <a:srcRect/>
        <a:stretch>
          <a:fillRect/>
        </a:stretch>
      </xdr:blipFill>
      <xdr:spPr>
        <a:xfrm>
          <a:off x="14906625" y="11948795"/>
          <a:ext cx="6486525" cy="5934075"/>
        </a:xfrm>
        <a:prstGeom prst="rect">
          <a:avLst/>
        </a:prstGeom>
        <a:noFill/>
        <a:ln w="1">
          <a:noFill/>
          <a:miter lim="800000"/>
          <a:headEnd/>
          <a:tailEnd type="none" w="med" len="med"/>
        </a:ln>
        <a:effectLst/>
      </xdr:spPr>
    </xdr:pic>
    <xdr:clientData/>
  </xdr:twoCellAnchor>
  <xdr:twoCellAnchor editAs="oneCell">
    <xdr:from>
      <xdr:col>26</xdr:col>
      <xdr:colOff>361950</xdr:colOff>
      <xdr:row>52</xdr:row>
      <xdr:rowOff>0</xdr:rowOff>
    </xdr:from>
    <xdr:to>
      <xdr:col>31</xdr:col>
      <xdr:colOff>904875</xdr:colOff>
      <xdr:row>82</xdr:row>
      <xdr:rowOff>104775</xdr:rowOff>
    </xdr:to>
    <xdr:pic>
      <xdr:nvPicPr>
        <xdr:cNvPr id="9240" name="Picture 24"/>
        <xdr:cNvPicPr>
          <a:picLocks noChangeAspect="1" noChangeArrowheads="1"/>
        </xdr:cNvPicPr>
      </xdr:nvPicPr>
      <xdr:blipFill>
        <a:blip r:embed="rId4" cstate="print"/>
        <a:srcRect/>
        <a:stretch>
          <a:fillRect/>
        </a:stretch>
      </xdr:blipFill>
      <xdr:spPr>
        <a:xfrm>
          <a:off x="21478875" y="10169525"/>
          <a:ext cx="6496050" cy="5808345"/>
        </a:xfrm>
        <a:prstGeom prst="rect">
          <a:avLst/>
        </a:prstGeom>
        <a:noFill/>
        <a:ln w="1">
          <a:noFill/>
          <a:miter lim="800000"/>
          <a:headEnd/>
          <a:tailEnd type="none" w="med" len="med"/>
        </a:ln>
        <a:effectLst/>
      </xdr:spPr>
    </xdr:pic>
    <xdr:clientData/>
  </xdr:twoCellAnchor>
  <xdr:twoCellAnchor editAs="oneCell">
    <xdr:from>
      <xdr:col>26</xdr:col>
      <xdr:colOff>371475</xdr:colOff>
      <xdr:row>83</xdr:row>
      <xdr:rowOff>76200</xdr:rowOff>
    </xdr:from>
    <xdr:to>
      <xdr:col>31</xdr:col>
      <xdr:colOff>904875</xdr:colOff>
      <xdr:row>110</xdr:row>
      <xdr:rowOff>47625</xdr:rowOff>
    </xdr:to>
    <xdr:pic>
      <xdr:nvPicPr>
        <xdr:cNvPr id="9241" name="Picture 25"/>
        <xdr:cNvPicPr>
          <a:picLocks noChangeAspect="1" noChangeArrowheads="1"/>
        </xdr:cNvPicPr>
      </xdr:nvPicPr>
      <xdr:blipFill>
        <a:blip r:embed="rId5" cstate="print"/>
        <a:srcRect/>
        <a:stretch>
          <a:fillRect/>
        </a:stretch>
      </xdr:blipFill>
      <xdr:spPr>
        <a:xfrm>
          <a:off x="21488400" y="16147415"/>
          <a:ext cx="6486525" cy="5273040"/>
        </a:xfrm>
        <a:prstGeom prst="rect">
          <a:avLst/>
        </a:prstGeom>
        <a:noFill/>
        <a:ln w="1">
          <a:noFill/>
          <a:miter lim="800000"/>
          <a:headEnd/>
          <a:tailEnd type="none" w="med" len="med"/>
        </a:ln>
        <a:effectLst/>
      </xdr:spPr>
    </xdr:pic>
    <xdr:clientData/>
  </xdr:twoCellAnchor>
  <xdr:twoCellAnchor editAs="oneCell">
    <xdr:from>
      <xdr:col>31</xdr:col>
      <xdr:colOff>1047750</xdr:colOff>
      <xdr:row>52</xdr:row>
      <xdr:rowOff>0</xdr:rowOff>
    </xdr:from>
    <xdr:to>
      <xdr:col>37</xdr:col>
      <xdr:colOff>400050</xdr:colOff>
      <xdr:row>79</xdr:row>
      <xdr:rowOff>0</xdr:rowOff>
    </xdr:to>
    <xdr:pic>
      <xdr:nvPicPr>
        <xdr:cNvPr id="9242" name="Picture 26"/>
        <xdr:cNvPicPr>
          <a:picLocks noChangeAspect="1" noChangeArrowheads="1"/>
        </xdr:cNvPicPr>
      </xdr:nvPicPr>
      <xdr:blipFill>
        <a:blip r:embed="rId6" cstate="print"/>
        <a:srcRect/>
        <a:stretch>
          <a:fillRect/>
        </a:stretch>
      </xdr:blipFill>
      <xdr:spPr>
        <a:xfrm>
          <a:off x="28117800" y="10169525"/>
          <a:ext cx="6496050" cy="5109210"/>
        </a:xfrm>
        <a:prstGeom prst="rect">
          <a:avLst/>
        </a:prstGeom>
        <a:noFill/>
        <a:ln w="1">
          <a:noFill/>
          <a:miter lim="800000"/>
          <a:headEnd/>
          <a:tailEnd type="none" w="med" len="med"/>
        </a:ln>
        <a:effectLst/>
      </xdr:spPr>
    </xdr:pic>
    <xdr:clientData/>
  </xdr:twoCellAnchor>
  <xdr:twoCellAnchor editAs="oneCell">
    <xdr:from>
      <xdr:col>31</xdr:col>
      <xdr:colOff>1038225</xdr:colOff>
      <xdr:row>79</xdr:row>
      <xdr:rowOff>133350</xdr:rowOff>
    </xdr:from>
    <xdr:to>
      <xdr:col>37</xdr:col>
      <xdr:colOff>400050</xdr:colOff>
      <xdr:row>88</xdr:row>
      <xdr:rowOff>19050</xdr:rowOff>
    </xdr:to>
    <xdr:pic>
      <xdr:nvPicPr>
        <xdr:cNvPr id="9243" name="Picture 27"/>
        <xdr:cNvPicPr>
          <a:picLocks noChangeAspect="1" noChangeArrowheads="1"/>
        </xdr:cNvPicPr>
      </xdr:nvPicPr>
      <xdr:blipFill>
        <a:blip r:embed="rId7" cstate="print"/>
        <a:srcRect/>
        <a:stretch>
          <a:fillRect/>
        </a:stretch>
      </xdr:blipFill>
      <xdr:spPr>
        <a:xfrm>
          <a:off x="28108275" y="15412085"/>
          <a:ext cx="6505575" cy="1668780"/>
        </a:xfrm>
        <a:prstGeom prst="rect">
          <a:avLst/>
        </a:prstGeom>
        <a:noFill/>
        <a:ln w="1">
          <a:noFill/>
          <a:miter lim="800000"/>
          <a:headEnd/>
          <a:tailEnd type="none" w="med" len="med"/>
        </a:ln>
        <a:effectLst/>
      </xdr:spPr>
    </xdr:pic>
    <xdr:clientData/>
  </xdr:twoCellAnchor>
  <xdr:twoCellAnchor editAs="oneCell">
    <xdr:from>
      <xdr:col>26</xdr:col>
      <xdr:colOff>352425</xdr:colOff>
      <xdr:row>111</xdr:row>
      <xdr:rowOff>142875</xdr:rowOff>
    </xdr:from>
    <xdr:to>
      <xdr:col>31</xdr:col>
      <xdr:colOff>895350</xdr:colOff>
      <xdr:row>117</xdr:row>
      <xdr:rowOff>104775</xdr:rowOff>
    </xdr:to>
    <xdr:pic>
      <xdr:nvPicPr>
        <xdr:cNvPr id="9244" name="Picture 28"/>
        <xdr:cNvPicPr>
          <a:picLocks noChangeAspect="1" noChangeArrowheads="1"/>
        </xdr:cNvPicPr>
      </xdr:nvPicPr>
      <xdr:blipFill>
        <a:blip r:embed="rId8" cstate="print"/>
        <a:srcRect/>
        <a:stretch>
          <a:fillRect/>
        </a:stretch>
      </xdr:blipFill>
      <xdr:spPr>
        <a:xfrm>
          <a:off x="21469350" y="21713825"/>
          <a:ext cx="6496050" cy="1150620"/>
        </a:xfrm>
        <a:prstGeom prst="rect">
          <a:avLst/>
        </a:prstGeom>
        <a:noFill/>
        <a:ln w="1">
          <a:noFill/>
          <a:miter lim="800000"/>
          <a:headEnd/>
          <a:tailEnd type="none" w="med" len="med"/>
        </a:ln>
        <a:effectLst/>
      </xdr:spPr>
    </xdr:pic>
    <xdr:clientData/>
  </xdr:twoCellAnchor>
  <xdr:twoCellAnchor editAs="oneCell">
    <xdr:from>
      <xdr:col>5</xdr:col>
      <xdr:colOff>9526</xdr:colOff>
      <xdr:row>52</xdr:row>
      <xdr:rowOff>9526</xdr:rowOff>
    </xdr:from>
    <xdr:to>
      <xdr:col>13</xdr:col>
      <xdr:colOff>190500</xdr:colOff>
      <xdr:row>62</xdr:row>
      <xdr:rowOff>19148</xdr:rowOff>
    </xdr:to>
    <xdr:pic>
      <xdr:nvPicPr>
        <xdr:cNvPr id="9245" name="Picture 29"/>
        <xdr:cNvPicPr>
          <a:picLocks noChangeAspect="1" noChangeArrowheads="1"/>
        </xdr:cNvPicPr>
      </xdr:nvPicPr>
      <xdr:blipFill>
        <a:blip r:embed="rId9" cstate="print"/>
        <a:srcRect/>
        <a:stretch>
          <a:fillRect/>
        </a:stretch>
      </xdr:blipFill>
      <xdr:spPr>
        <a:xfrm>
          <a:off x="5724525" y="10179050"/>
          <a:ext cx="5438775" cy="1788795"/>
        </a:xfrm>
        <a:prstGeom prst="rect">
          <a:avLst/>
        </a:prstGeom>
        <a:noFill/>
        <a:ln w="1">
          <a:noFill/>
          <a:miter lim="800000"/>
          <a:headEnd/>
          <a:tailEnd type="none" w="med" len="med"/>
        </a:ln>
        <a:effectLst/>
      </xdr:spPr>
    </xdr:pic>
    <xdr:clientData/>
  </xdr:twoCellAnchor>
  <xdr:twoCellAnchor editAs="oneCell">
    <xdr:from>
      <xdr:col>5</xdr:col>
      <xdr:colOff>9525</xdr:colOff>
      <xdr:row>64</xdr:row>
      <xdr:rowOff>57150</xdr:rowOff>
    </xdr:from>
    <xdr:to>
      <xdr:col>18</xdr:col>
      <xdr:colOff>276225</xdr:colOff>
      <xdr:row>94</xdr:row>
      <xdr:rowOff>47625</xdr:rowOff>
    </xdr:to>
    <xdr:pic>
      <xdr:nvPicPr>
        <xdr:cNvPr id="9246" name="Picture 30"/>
        <xdr:cNvPicPr>
          <a:picLocks noChangeAspect="1" noChangeArrowheads="1"/>
        </xdr:cNvPicPr>
      </xdr:nvPicPr>
      <xdr:blipFill>
        <a:blip r:embed="rId10" cstate="print"/>
        <a:srcRect/>
        <a:stretch>
          <a:fillRect/>
        </a:stretch>
      </xdr:blipFill>
      <xdr:spPr>
        <a:xfrm>
          <a:off x="5724525" y="12364085"/>
          <a:ext cx="8810625" cy="5916930"/>
        </a:xfrm>
        <a:prstGeom prst="rect">
          <a:avLst/>
        </a:prstGeom>
        <a:noFill/>
        <a:ln w="1">
          <a:noFill/>
          <a:miter lim="800000"/>
          <a:headEnd/>
          <a:tailEnd type="none" w="med" len="med"/>
        </a:ln>
        <a:effectLst/>
      </xdr:spPr>
    </xdr:pic>
    <xdr:clientData/>
  </xdr:twoCellAnchor>
  <xdr:twoCellAnchor editAs="oneCell">
    <xdr:from>
      <xdr:col>11</xdr:col>
      <xdr:colOff>85725</xdr:colOff>
      <xdr:row>97</xdr:row>
      <xdr:rowOff>0</xdr:rowOff>
    </xdr:from>
    <xdr:to>
      <xdr:col>13</xdr:col>
      <xdr:colOff>314325</xdr:colOff>
      <xdr:row>103</xdr:row>
      <xdr:rowOff>85725</xdr:rowOff>
    </xdr:to>
    <xdr:pic>
      <xdr:nvPicPr>
        <xdr:cNvPr id="9252" name="Picture 36"/>
        <xdr:cNvPicPr>
          <a:picLocks noChangeAspect="1" noChangeArrowheads="1"/>
        </xdr:cNvPicPr>
      </xdr:nvPicPr>
      <xdr:blipFill>
        <a:blip r:embed="rId11" cstate="print"/>
        <a:srcRect/>
        <a:stretch>
          <a:fillRect/>
        </a:stretch>
      </xdr:blipFill>
      <xdr:spPr>
        <a:xfrm>
          <a:off x="9744075" y="18827750"/>
          <a:ext cx="1543050" cy="1243965"/>
        </a:xfrm>
        <a:prstGeom prst="rect">
          <a:avLst/>
        </a:prstGeom>
        <a:noFill/>
        <a:ln w="1">
          <a:noFill/>
          <a:miter lim="800000"/>
          <a:headEnd/>
          <a:tailEnd type="none" w="med" len="med"/>
        </a:ln>
        <a:effectLst/>
      </xdr:spPr>
    </xdr:pic>
    <xdr:clientData/>
  </xdr:twoCellAnchor>
  <xdr:twoCellAnchor editAs="oneCell">
    <xdr:from>
      <xdr:col>11</xdr:col>
      <xdr:colOff>133350</xdr:colOff>
      <xdr:row>103</xdr:row>
      <xdr:rowOff>104775</xdr:rowOff>
    </xdr:from>
    <xdr:to>
      <xdr:col>15</xdr:col>
      <xdr:colOff>590550</xdr:colOff>
      <xdr:row>109</xdr:row>
      <xdr:rowOff>161925</xdr:rowOff>
    </xdr:to>
    <xdr:pic>
      <xdr:nvPicPr>
        <xdr:cNvPr id="9253" name="Picture 37"/>
        <xdr:cNvPicPr>
          <a:picLocks noChangeAspect="1" noChangeArrowheads="1"/>
        </xdr:cNvPicPr>
      </xdr:nvPicPr>
      <xdr:blipFill>
        <a:blip r:embed="rId12" cstate="print"/>
        <a:srcRect/>
        <a:stretch>
          <a:fillRect/>
        </a:stretch>
      </xdr:blipFill>
      <xdr:spPr>
        <a:xfrm>
          <a:off x="9791700" y="20090765"/>
          <a:ext cx="3086100" cy="1245870"/>
        </a:xfrm>
        <a:prstGeom prst="rect">
          <a:avLst/>
        </a:prstGeom>
        <a:noFill/>
        <a:ln w="1">
          <a:noFill/>
          <a:miter lim="800000"/>
          <a:headEnd/>
          <a:tailEnd type="none" w="med" len="med"/>
        </a:ln>
        <a:effectLst/>
      </xdr:spPr>
    </xdr:pic>
    <xdr:clientData/>
  </xdr:twoCellAnchor>
  <xdr:twoCellAnchor editAs="oneCell">
    <xdr:from>
      <xdr:col>11</xdr:col>
      <xdr:colOff>66675</xdr:colOff>
      <xdr:row>110</xdr:row>
      <xdr:rowOff>19050</xdr:rowOff>
    </xdr:from>
    <xdr:to>
      <xdr:col>13</xdr:col>
      <xdr:colOff>190500</xdr:colOff>
      <xdr:row>116</xdr:row>
      <xdr:rowOff>66675</xdr:rowOff>
    </xdr:to>
    <xdr:pic>
      <xdr:nvPicPr>
        <xdr:cNvPr id="9254" name="Picture 38"/>
        <xdr:cNvPicPr>
          <a:picLocks noChangeAspect="1" noChangeArrowheads="1"/>
        </xdr:cNvPicPr>
      </xdr:nvPicPr>
      <xdr:blipFill>
        <a:blip r:embed="rId13" cstate="print"/>
        <a:srcRect/>
        <a:stretch>
          <a:fillRect/>
        </a:stretch>
      </xdr:blipFill>
      <xdr:spPr>
        <a:xfrm>
          <a:off x="9725025" y="21391880"/>
          <a:ext cx="1438275" cy="1236345"/>
        </a:xfrm>
        <a:prstGeom prst="rect">
          <a:avLst/>
        </a:prstGeom>
        <a:noFill/>
        <a:ln w="1">
          <a:noFill/>
          <a:miter lim="800000"/>
          <a:headEnd/>
          <a:tailEnd type="none" w="med" len="med"/>
        </a:ln>
        <a:effectLst/>
      </xdr:spPr>
    </xdr:pic>
    <xdr:clientData/>
  </xdr:twoCellAnchor>
  <xdr:twoCellAnchor editAs="oneCell">
    <xdr:from>
      <xdr:col>13</xdr:col>
      <xdr:colOff>0</xdr:colOff>
      <xdr:row>29</xdr:row>
      <xdr:rowOff>22450</xdr:rowOff>
    </xdr:from>
    <xdr:to>
      <xdr:col>18</xdr:col>
      <xdr:colOff>432529</xdr:colOff>
      <xdr:row>42</xdr:row>
      <xdr:rowOff>28575</xdr:rowOff>
    </xdr:to>
    <xdr:pic>
      <xdr:nvPicPr>
        <xdr:cNvPr id="9260" name="Picture 44"/>
        <xdr:cNvPicPr>
          <a:picLocks noChangeAspect="1" noChangeArrowheads="1"/>
        </xdr:cNvPicPr>
      </xdr:nvPicPr>
      <xdr:blipFill>
        <a:blip r:embed="rId14" cstate="print"/>
        <a:srcRect/>
        <a:stretch>
          <a:fillRect/>
        </a:stretch>
      </xdr:blipFill>
      <xdr:spPr>
        <a:xfrm>
          <a:off x="10972800" y="5991225"/>
          <a:ext cx="3718560" cy="2317115"/>
        </a:xfrm>
        <a:prstGeom prst="rect">
          <a:avLst/>
        </a:prstGeom>
        <a:noFill/>
        <a:ln w="1">
          <a:noFill/>
          <a:miter lim="800000"/>
          <a:headEnd/>
          <a:tailEnd type="none" w="med" len="med"/>
        </a:ln>
        <a:effectLst/>
      </xdr:spPr>
    </xdr:pic>
    <xdr:clientData/>
  </xdr:twoCellAnchor>
  <xdr:twoCellAnchor editAs="oneCell">
    <xdr:from>
      <xdr:col>18</xdr:col>
      <xdr:colOff>466726</xdr:colOff>
      <xdr:row>28</xdr:row>
      <xdr:rowOff>161925</xdr:rowOff>
    </xdr:from>
    <xdr:to>
      <xdr:col>23</xdr:col>
      <xdr:colOff>541825</xdr:colOff>
      <xdr:row>42</xdr:row>
      <xdr:rowOff>19050</xdr:rowOff>
    </xdr:to>
    <xdr:pic>
      <xdr:nvPicPr>
        <xdr:cNvPr id="9261" name="Picture 45"/>
        <xdr:cNvPicPr>
          <a:picLocks noChangeAspect="1" noChangeArrowheads="1"/>
        </xdr:cNvPicPr>
      </xdr:nvPicPr>
      <xdr:blipFill>
        <a:blip r:embed="rId15" cstate="print"/>
        <a:srcRect/>
        <a:stretch>
          <a:fillRect/>
        </a:stretch>
      </xdr:blipFill>
      <xdr:spPr>
        <a:xfrm>
          <a:off x="14725650" y="5948045"/>
          <a:ext cx="3361055" cy="2350770"/>
        </a:xfrm>
        <a:prstGeom prst="rect">
          <a:avLst/>
        </a:prstGeom>
        <a:noFill/>
        <a:ln w="1">
          <a:noFill/>
          <a:miter lim="800000"/>
          <a:headEnd/>
          <a:tailEnd type="none" w="med" len="med"/>
        </a:ln>
        <a:effectLst/>
      </xdr:spPr>
    </xdr:pic>
    <xdr:clientData/>
  </xdr:twoCellAnchor>
  <xdr:twoCellAnchor editAs="oneCell">
    <xdr:from>
      <xdr:col>5</xdr:col>
      <xdr:colOff>28575</xdr:colOff>
      <xdr:row>25</xdr:row>
      <xdr:rowOff>19049</xdr:rowOff>
    </xdr:from>
    <xdr:to>
      <xdr:col>12</xdr:col>
      <xdr:colOff>606198</xdr:colOff>
      <xdr:row>40</xdr:row>
      <xdr:rowOff>171449</xdr:rowOff>
    </xdr:to>
    <xdr:pic>
      <xdr:nvPicPr>
        <xdr:cNvPr id="9266" name="Picture 50"/>
        <xdr:cNvPicPr>
          <a:picLocks noChangeAspect="1" noChangeArrowheads="1"/>
        </xdr:cNvPicPr>
      </xdr:nvPicPr>
      <xdr:blipFill>
        <a:blip r:embed="rId16" cstate="print"/>
        <a:srcRect/>
        <a:stretch>
          <a:fillRect/>
        </a:stretch>
      </xdr:blipFill>
      <xdr:spPr>
        <a:xfrm>
          <a:off x="5743575" y="5263515"/>
          <a:ext cx="5177790" cy="2836545"/>
        </a:xfrm>
        <a:prstGeom prst="rect">
          <a:avLst/>
        </a:prstGeom>
        <a:noFill/>
        <a:ln w="1">
          <a:noFill/>
          <a:miter lim="800000"/>
          <a:headEnd/>
          <a:tailEnd type="none" w="med" len="med"/>
        </a:ln>
        <a:effectLst/>
      </xdr:spPr>
    </xdr:pic>
    <xdr:clientData/>
  </xdr:twoCellAnchor>
  <xdr:twoCellAnchor editAs="oneCell">
    <xdr:from>
      <xdr:col>0</xdr:col>
      <xdr:colOff>485775</xdr:colOff>
      <xdr:row>43</xdr:row>
      <xdr:rowOff>38100</xdr:rowOff>
    </xdr:from>
    <xdr:to>
      <xdr:col>3</xdr:col>
      <xdr:colOff>152400</xdr:colOff>
      <xdr:row>53</xdr:row>
      <xdr:rowOff>101615</xdr:rowOff>
    </xdr:to>
    <xdr:pic>
      <xdr:nvPicPr>
        <xdr:cNvPr id="9267" name="Picture 51"/>
        <xdr:cNvPicPr>
          <a:picLocks noChangeAspect="1" noChangeArrowheads="1"/>
        </xdr:cNvPicPr>
      </xdr:nvPicPr>
      <xdr:blipFill>
        <a:blip r:embed="rId17" cstate="print"/>
        <a:srcRect/>
        <a:stretch>
          <a:fillRect/>
        </a:stretch>
      </xdr:blipFill>
      <xdr:spPr>
        <a:xfrm>
          <a:off x="485775" y="8500745"/>
          <a:ext cx="3609975" cy="194564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9" name="五边形 18">
          <a:hlinkClick xmlns:r="http://schemas.openxmlformats.org/officeDocument/2006/relationships" r:id="rId18"/>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twoCellAnchor>
    <xdr:from>
      <xdr:col>6</xdr:col>
      <xdr:colOff>390525</xdr:colOff>
      <xdr:row>26</xdr:row>
      <xdr:rowOff>66675</xdr:rowOff>
    </xdr:from>
    <xdr:to>
      <xdr:col>6</xdr:col>
      <xdr:colOff>504825</xdr:colOff>
      <xdr:row>27</xdr:row>
      <xdr:rowOff>19050</xdr:rowOff>
    </xdr:to>
    <xdr:sp>
      <xdr:nvSpPr>
        <xdr:cNvPr id="3" name="圆角矩形 2"/>
        <xdr:cNvSpPr/>
      </xdr:nvSpPr>
      <xdr:spPr>
        <a:xfrm>
          <a:off x="6762750" y="5494655"/>
          <a:ext cx="114300" cy="135255"/>
        </a:xfrm>
        <a:prstGeom prst="roundRect">
          <a:avLst/>
        </a:prstGeom>
        <a:ln>
          <a:no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lang="zh-CN" altLang="en-US" sz="1100"/>
        </a:p>
      </xdr:txBody>
    </xdr:sp>
    <xdr:clientData/>
  </xdr:twoCellAnchor>
  <xdr:oneCellAnchor>
    <xdr:from>
      <xdr:col>6</xdr:col>
      <xdr:colOff>276225</xdr:colOff>
      <xdr:row>25</xdr:row>
      <xdr:rowOff>95250</xdr:rowOff>
    </xdr:from>
    <xdr:ext cx="553037" cy="377951"/>
    <xdr:sp>
      <xdr:nvSpPr>
        <xdr:cNvPr id="4" name="文本框 3"/>
        <xdr:cNvSpPr txBox="1"/>
      </xdr:nvSpPr>
      <xdr:spPr>
        <a:xfrm>
          <a:off x="6648450" y="5340350"/>
          <a:ext cx="552450" cy="3778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800" b="1">
              <a:solidFill>
                <a:srgbClr val="0070C0"/>
              </a:solidFill>
            </a:rPr>
            <a:t>min</a:t>
          </a:r>
          <a:endParaRPr lang="zh-CN" altLang="en-US" sz="1800" b="1">
            <a:solidFill>
              <a:srgbClr val="0070C0"/>
            </a:solidFill>
          </a:endParaRPr>
        </a:p>
      </xdr:txBody>
    </xdr:sp>
    <xdr:clientData/>
  </xdr:one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1</xdr:row>
      <xdr:rowOff>200025</xdr:rowOff>
    </xdr:from>
    <xdr:to>
      <xdr:col>13</xdr:col>
      <xdr:colOff>142481</xdr:colOff>
      <xdr:row>15</xdr:row>
      <xdr:rowOff>171450</xdr:rowOff>
    </xdr:to>
    <xdr:pic>
      <xdr:nvPicPr>
        <xdr:cNvPr id="2" name="Picture 19"/>
        <xdr:cNvPicPr>
          <a:picLocks noChangeAspect="1" noChangeArrowheads="1"/>
        </xdr:cNvPicPr>
      </xdr:nvPicPr>
      <xdr:blipFill>
        <a:blip r:embed="rId1" cstate="print"/>
        <a:srcRect/>
        <a:stretch>
          <a:fillRect/>
        </a:stretch>
      </xdr:blipFill>
      <xdr:spPr>
        <a:xfrm>
          <a:off x="5867400" y="478790"/>
          <a:ext cx="5400040" cy="3011805"/>
        </a:xfrm>
        <a:prstGeom prst="rect">
          <a:avLst/>
        </a:prstGeom>
        <a:noFill/>
        <a:ln w="1">
          <a:noFill/>
          <a:miter lim="800000"/>
          <a:headEnd/>
          <a:tailEnd type="none" w="med" len="med"/>
        </a:ln>
        <a:effectLst/>
      </xdr:spPr>
    </xdr:pic>
    <xdr:clientData/>
  </xdr:twoCellAnchor>
  <xdr:twoCellAnchor editAs="oneCell">
    <xdr:from>
      <xdr:col>5</xdr:col>
      <xdr:colOff>0</xdr:colOff>
      <xdr:row>17</xdr:row>
      <xdr:rowOff>0</xdr:rowOff>
    </xdr:from>
    <xdr:to>
      <xdr:col>12</xdr:col>
      <xdr:colOff>266700</xdr:colOff>
      <xdr:row>26</xdr:row>
      <xdr:rowOff>200025</xdr:rowOff>
    </xdr:to>
    <xdr:pic>
      <xdr:nvPicPr>
        <xdr:cNvPr id="3" name="Picture 20"/>
        <xdr:cNvPicPr>
          <a:picLocks noChangeAspect="1" noChangeArrowheads="1"/>
        </xdr:cNvPicPr>
      </xdr:nvPicPr>
      <xdr:blipFill>
        <a:blip r:embed="rId2" cstate="print"/>
        <a:srcRect/>
        <a:stretch>
          <a:fillRect/>
        </a:stretch>
      </xdr:blipFill>
      <xdr:spPr>
        <a:xfrm>
          <a:off x="5867400" y="3753485"/>
          <a:ext cx="4867275" cy="2154555"/>
        </a:xfrm>
        <a:prstGeom prst="rect">
          <a:avLst/>
        </a:prstGeom>
        <a:noFill/>
        <a:ln w="1">
          <a:noFill/>
          <a:miter lim="800000"/>
          <a:headEnd/>
          <a:tailEnd type="none" w="med" len="med"/>
        </a:ln>
        <a:effectLst/>
      </xdr:spPr>
    </xdr:pic>
    <xdr:clientData/>
  </xdr:twoCellAnchor>
  <xdr:twoCellAnchor editAs="oneCell">
    <xdr:from>
      <xdr:col>5</xdr:col>
      <xdr:colOff>0</xdr:colOff>
      <xdr:row>28</xdr:row>
      <xdr:rowOff>0</xdr:rowOff>
    </xdr:from>
    <xdr:to>
      <xdr:col>15</xdr:col>
      <xdr:colOff>104775</xdr:colOff>
      <xdr:row>47</xdr:row>
      <xdr:rowOff>171450</xdr:rowOff>
    </xdr:to>
    <xdr:pic>
      <xdr:nvPicPr>
        <xdr:cNvPr id="4" name="Picture 22"/>
        <xdr:cNvPicPr>
          <a:picLocks noChangeAspect="1" noChangeArrowheads="1"/>
        </xdr:cNvPicPr>
      </xdr:nvPicPr>
      <xdr:blipFill>
        <a:blip r:embed="rId3" cstate="print"/>
        <a:srcRect/>
        <a:stretch>
          <a:fillRect/>
        </a:stretch>
      </xdr:blipFill>
      <xdr:spPr>
        <a:xfrm>
          <a:off x="5867400" y="6142355"/>
          <a:ext cx="6677025" cy="4290060"/>
        </a:xfrm>
        <a:prstGeom prst="rect">
          <a:avLst/>
        </a:prstGeom>
        <a:noFill/>
        <a:ln w="1">
          <a:noFill/>
          <a:miter lim="800000"/>
          <a:headEnd/>
          <a:tailEnd type="none" w="med" len="med"/>
        </a:ln>
        <a:effectLst/>
      </xdr:spPr>
    </xdr:pic>
    <xdr:clientData/>
  </xdr:twoCellAnchor>
  <xdr:twoCellAnchor editAs="oneCell">
    <xdr:from>
      <xdr:col>1</xdr:col>
      <xdr:colOff>771525</xdr:colOff>
      <xdr:row>31</xdr:row>
      <xdr:rowOff>180976</xdr:rowOff>
    </xdr:from>
    <xdr:to>
      <xdr:col>3</xdr:col>
      <xdr:colOff>619125</xdr:colOff>
      <xdr:row>34</xdr:row>
      <xdr:rowOff>200026</xdr:rowOff>
    </xdr:to>
    <xdr:pic>
      <xdr:nvPicPr>
        <xdr:cNvPr id="5" name="Picture 23"/>
        <xdr:cNvPicPr>
          <a:picLocks noChangeAspect="1" noChangeArrowheads="1"/>
        </xdr:cNvPicPr>
      </xdr:nvPicPr>
      <xdr:blipFill>
        <a:blip r:embed="rId4" cstate="print"/>
        <a:srcRect/>
        <a:stretch>
          <a:fillRect/>
        </a:stretch>
      </xdr:blipFill>
      <xdr:spPr>
        <a:xfrm>
          <a:off x="1962150" y="6974840"/>
          <a:ext cx="2600325" cy="670560"/>
        </a:xfrm>
        <a:prstGeom prst="rect">
          <a:avLst/>
        </a:prstGeom>
        <a:noFill/>
        <a:ln w="1">
          <a:noFill/>
          <a:miter lim="800000"/>
          <a:headEnd/>
          <a:tailEnd type="none" w="med" len="med"/>
        </a:ln>
        <a:effectLst/>
      </xdr:spPr>
    </xdr:pic>
    <xdr:clientData/>
  </xdr:twoCellAnchor>
  <xdr:twoCellAnchor>
    <xdr:from>
      <xdr:col>5</xdr:col>
      <xdr:colOff>247650</xdr:colOff>
      <xdr:row>4</xdr:row>
      <xdr:rowOff>133350</xdr:rowOff>
    </xdr:from>
    <xdr:to>
      <xdr:col>6</xdr:col>
      <xdr:colOff>123825</xdr:colOff>
      <xdr:row>7</xdr:row>
      <xdr:rowOff>95250</xdr:rowOff>
    </xdr:to>
    <xdr:sp>
      <xdr:nvSpPr>
        <xdr:cNvPr id="6" name="环形箭头 5"/>
        <xdr:cNvSpPr/>
      </xdr:nvSpPr>
      <xdr:spPr>
        <a:xfrm flipH="1">
          <a:off x="6115050" y="1063625"/>
          <a:ext cx="533400" cy="613410"/>
        </a:xfrm>
        <a:prstGeom prst="circular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rtlCol="0" anchor="ctr"/>
        <a:lstStyle/>
        <a:p>
          <a:pPr algn="ctr"/>
          <a:endParaRPr lang="zh-CN" altLang="en-US" sz="1100">
            <a:solidFill>
              <a:schemeClr val="tx1"/>
            </a:solidFill>
          </a:endParaRPr>
        </a:p>
      </xdr:txBody>
    </xdr:sp>
    <xdr:clientData/>
  </xdr:twoCellAnchor>
  <xdr:twoCellAnchor editAs="oneCell">
    <xdr:from>
      <xdr:col>0</xdr:col>
      <xdr:colOff>361951</xdr:colOff>
      <xdr:row>31</xdr:row>
      <xdr:rowOff>142874</xdr:rowOff>
    </xdr:from>
    <xdr:to>
      <xdr:col>1</xdr:col>
      <xdr:colOff>742950</xdr:colOff>
      <xdr:row>34</xdr:row>
      <xdr:rowOff>209549</xdr:rowOff>
    </xdr:to>
    <xdr:pic>
      <xdr:nvPicPr>
        <xdr:cNvPr id="7" name="Picture 19"/>
        <xdr:cNvPicPr>
          <a:picLocks noChangeAspect="1" noChangeArrowheads="1"/>
        </xdr:cNvPicPr>
      </xdr:nvPicPr>
      <xdr:blipFill>
        <a:blip r:embed="rId5" cstate="print"/>
        <a:srcRect/>
        <a:stretch>
          <a:fillRect/>
        </a:stretch>
      </xdr:blipFill>
      <xdr:spPr>
        <a:xfrm>
          <a:off x="361950" y="6936105"/>
          <a:ext cx="1571625" cy="71818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8" name="五边形 7">
          <a:hlinkClick xmlns:r="http://schemas.openxmlformats.org/officeDocument/2006/relationships" r:id="rId6"/>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mc:AlternateContent xmlns:mc="http://schemas.openxmlformats.org/markup-compatibility/2006">
    <mc:Choice xmlns:a14="http://schemas.microsoft.com/office/drawing/2010/main" Requires="a14">
      <xdr:twoCellAnchor>
        <xdr:from>
          <xdr:col>5</xdr:col>
          <xdr:colOff>0</xdr:colOff>
          <xdr:row>1</xdr:row>
          <xdr:rowOff>0</xdr:rowOff>
        </xdr:from>
        <xdr:to>
          <xdr:col>5</xdr:col>
          <xdr:colOff>0</xdr:colOff>
          <xdr:row>1</xdr:row>
          <xdr:rowOff>0</xdr:rowOff>
        </xdr:to>
        <xdr:sp>
          <xdr:nvSpPr>
            <xdr:cNvPr id="16386" name="对象 19457" hidden="1">
              <a:extLst>
                <a:ext uri="{63B3BB69-23CF-44E3-9099-C40C66FF867C}">
                  <a14:compatExt spid="_x0000_s16386"/>
                </a:ext>
              </a:extLst>
            </xdr:cNvPr>
            <xdr:cNvSpPr/>
          </xdr:nvSpPr>
          <xdr:spPr>
            <a:xfrm>
              <a:off x="5867400" y="278765"/>
              <a:ext cx="0" cy="0"/>
            </a:xfrm>
            <a:prstGeom prst="rect">
              <a:avLst/>
            </a:prstGeom>
          </xdr:spPr>
        </xdr:sp>
        <xdr:clientData/>
      </xdr:twoCellAnchor>
    </mc:Choice>
    <mc:Fallback/>
  </mc:AlternateContent>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13</xdr:row>
      <xdr:rowOff>1</xdr:rowOff>
    </xdr:from>
    <xdr:to>
      <xdr:col>14</xdr:col>
      <xdr:colOff>152400</xdr:colOff>
      <xdr:row>34</xdr:row>
      <xdr:rowOff>171451</xdr:rowOff>
    </xdr:to>
    <xdr:pic>
      <xdr:nvPicPr>
        <xdr:cNvPr id="11279" name="Picture 15"/>
        <xdr:cNvPicPr>
          <a:picLocks noChangeAspect="1" noChangeArrowheads="1"/>
        </xdr:cNvPicPr>
      </xdr:nvPicPr>
      <xdr:blipFill>
        <a:blip r:embed="rId1" cstate="print"/>
        <a:srcRect/>
        <a:stretch>
          <a:fillRect/>
        </a:stretch>
      </xdr:blipFill>
      <xdr:spPr>
        <a:xfrm>
          <a:off x="5886450" y="2884805"/>
          <a:ext cx="6067425" cy="4082415"/>
        </a:xfrm>
        <a:prstGeom prst="rect">
          <a:avLst/>
        </a:prstGeom>
        <a:noFill/>
        <a:ln w="1">
          <a:noFill/>
          <a:miter lim="800000"/>
          <a:headEnd/>
          <a:tailEnd type="none" w="med" len="med"/>
        </a:ln>
        <a:effectLst/>
      </xdr:spPr>
    </xdr:pic>
    <xdr:clientData/>
  </xdr:twoCellAnchor>
  <xdr:twoCellAnchor editAs="oneCell">
    <xdr:from>
      <xdr:col>14</xdr:col>
      <xdr:colOff>161925</xdr:colOff>
      <xdr:row>13</xdr:row>
      <xdr:rowOff>9525</xdr:rowOff>
    </xdr:from>
    <xdr:to>
      <xdr:col>23</xdr:col>
      <xdr:colOff>514350</xdr:colOff>
      <xdr:row>34</xdr:row>
      <xdr:rowOff>161925</xdr:rowOff>
    </xdr:to>
    <xdr:pic>
      <xdr:nvPicPr>
        <xdr:cNvPr id="11280" name="Picture 16"/>
        <xdr:cNvPicPr>
          <a:picLocks noChangeAspect="1" noChangeArrowheads="1"/>
        </xdr:cNvPicPr>
      </xdr:nvPicPr>
      <xdr:blipFill>
        <a:blip r:embed="rId2" cstate="print"/>
        <a:srcRect/>
        <a:stretch>
          <a:fillRect/>
        </a:stretch>
      </xdr:blipFill>
      <xdr:spPr>
        <a:xfrm>
          <a:off x="11963400" y="2894330"/>
          <a:ext cx="6267450" cy="4063365"/>
        </a:xfrm>
        <a:prstGeom prst="rect">
          <a:avLst/>
        </a:prstGeom>
        <a:noFill/>
        <a:ln w="1">
          <a:noFill/>
          <a:miter lim="800000"/>
          <a:headEnd/>
          <a:tailEnd type="none" w="med" len="med"/>
        </a:ln>
        <a:effectLst/>
      </xdr:spPr>
    </xdr:pic>
    <xdr:clientData/>
  </xdr:twoCellAnchor>
  <xdr:twoCellAnchor editAs="oneCell">
    <xdr:from>
      <xdr:col>5</xdr:col>
      <xdr:colOff>0</xdr:colOff>
      <xdr:row>37</xdr:row>
      <xdr:rowOff>0</xdr:rowOff>
    </xdr:from>
    <xdr:to>
      <xdr:col>10</xdr:col>
      <xdr:colOff>0</xdr:colOff>
      <xdr:row>62</xdr:row>
      <xdr:rowOff>85725</xdr:rowOff>
    </xdr:to>
    <xdr:pic>
      <xdr:nvPicPr>
        <xdr:cNvPr id="11282" name="Picture 18"/>
        <xdr:cNvPicPr>
          <a:picLocks noChangeAspect="1" noChangeArrowheads="1"/>
        </xdr:cNvPicPr>
      </xdr:nvPicPr>
      <xdr:blipFill>
        <a:blip r:embed="rId3" cstate="print"/>
        <a:srcRect/>
        <a:stretch>
          <a:fillRect/>
        </a:stretch>
      </xdr:blipFill>
      <xdr:spPr>
        <a:xfrm>
          <a:off x="5886450" y="7329170"/>
          <a:ext cx="3286125" cy="4585335"/>
        </a:xfrm>
        <a:prstGeom prst="rect">
          <a:avLst/>
        </a:prstGeom>
        <a:noFill/>
        <a:ln w="1">
          <a:noFill/>
          <a:miter lim="800000"/>
          <a:headEnd/>
          <a:tailEnd type="none" w="med" len="med"/>
        </a:ln>
        <a:effectLst/>
      </xdr:spPr>
    </xdr:pic>
    <xdr:clientData/>
  </xdr:twoCellAnchor>
  <xdr:twoCellAnchor editAs="oneCell">
    <xdr:from>
      <xdr:col>14</xdr:col>
      <xdr:colOff>619125</xdr:colOff>
      <xdr:row>36</xdr:row>
      <xdr:rowOff>0</xdr:rowOff>
    </xdr:from>
    <xdr:to>
      <xdr:col>18</xdr:col>
      <xdr:colOff>438150</xdr:colOff>
      <xdr:row>42</xdr:row>
      <xdr:rowOff>171450</xdr:rowOff>
    </xdr:to>
    <xdr:pic>
      <xdr:nvPicPr>
        <xdr:cNvPr id="11291" name="Picture 27"/>
        <xdr:cNvPicPr>
          <a:picLocks noChangeAspect="1" noChangeArrowheads="1"/>
        </xdr:cNvPicPr>
      </xdr:nvPicPr>
      <xdr:blipFill>
        <a:blip r:embed="rId4" cstate="print"/>
        <a:srcRect/>
        <a:stretch>
          <a:fillRect/>
        </a:stretch>
      </xdr:blipFill>
      <xdr:spPr>
        <a:xfrm>
          <a:off x="12420600" y="7146290"/>
          <a:ext cx="2447925" cy="1274445"/>
        </a:xfrm>
        <a:prstGeom prst="rect">
          <a:avLst/>
        </a:prstGeom>
        <a:noFill/>
        <a:ln w="1">
          <a:noFill/>
          <a:miter lim="800000"/>
          <a:headEnd/>
          <a:tailEnd type="none" w="med" len="med"/>
        </a:ln>
        <a:effectLst/>
      </xdr:spPr>
    </xdr:pic>
    <xdr:clientData/>
  </xdr:twoCellAnchor>
  <xdr:twoCellAnchor editAs="oneCell">
    <xdr:from>
      <xdr:col>14</xdr:col>
      <xdr:colOff>600075</xdr:colOff>
      <xdr:row>52</xdr:row>
      <xdr:rowOff>3758</xdr:rowOff>
    </xdr:from>
    <xdr:to>
      <xdr:col>18</xdr:col>
      <xdr:colOff>571500</xdr:colOff>
      <xdr:row>58</xdr:row>
      <xdr:rowOff>171451</xdr:rowOff>
    </xdr:to>
    <xdr:pic>
      <xdr:nvPicPr>
        <xdr:cNvPr id="11293" name="Picture 29"/>
        <xdr:cNvPicPr>
          <a:picLocks noChangeAspect="1" noChangeArrowheads="1"/>
        </xdr:cNvPicPr>
      </xdr:nvPicPr>
      <xdr:blipFill>
        <a:blip r:embed="rId5" cstate="print"/>
        <a:srcRect/>
        <a:stretch>
          <a:fillRect/>
        </a:stretch>
      </xdr:blipFill>
      <xdr:spPr>
        <a:xfrm>
          <a:off x="12401550" y="10064115"/>
          <a:ext cx="2600325" cy="1235075"/>
        </a:xfrm>
        <a:prstGeom prst="rect">
          <a:avLst/>
        </a:prstGeom>
        <a:noFill/>
        <a:ln w="1">
          <a:noFill/>
          <a:miter lim="800000"/>
          <a:headEnd/>
          <a:tailEnd type="none" w="med" len="med"/>
        </a:ln>
        <a:effectLst/>
      </xdr:spPr>
    </xdr:pic>
    <xdr:clientData/>
  </xdr:twoCellAnchor>
  <xdr:twoCellAnchor editAs="oneCell">
    <xdr:from>
      <xdr:col>18</xdr:col>
      <xdr:colOff>133350</xdr:colOff>
      <xdr:row>41</xdr:row>
      <xdr:rowOff>123825</xdr:rowOff>
    </xdr:from>
    <xdr:to>
      <xdr:col>20</xdr:col>
      <xdr:colOff>504825</xdr:colOff>
      <xdr:row>52</xdr:row>
      <xdr:rowOff>57150</xdr:rowOff>
    </xdr:to>
    <xdr:pic>
      <xdr:nvPicPr>
        <xdr:cNvPr id="11292" name="Picture 28"/>
        <xdr:cNvPicPr>
          <a:picLocks noChangeAspect="1" noChangeArrowheads="1"/>
        </xdr:cNvPicPr>
      </xdr:nvPicPr>
      <xdr:blipFill>
        <a:blip r:embed="rId6" cstate="print"/>
        <a:srcRect/>
        <a:stretch>
          <a:fillRect/>
        </a:stretch>
      </xdr:blipFill>
      <xdr:spPr>
        <a:xfrm>
          <a:off x="14563725" y="8192135"/>
          <a:ext cx="1685925" cy="1925955"/>
        </a:xfrm>
        <a:prstGeom prst="rect">
          <a:avLst/>
        </a:prstGeom>
        <a:noFill/>
        <a:ln w="1">
          <a:noFill/>
          <a:miter lim="800000"/>
          <a:headEnd/>
          <a:tailEnd type="none" w="med" len="med"/>
        </a:ln>
        <a:effectLst/>
      </xdr:spPr>
    </xdr:pic>
    <xdr:clientData/>
  </xdr:twoCellAnchor>
  <xdr:twoCellAnchor editAs="oneCell">
    <xdr:from>
      <xdr:col>15</xdr:col>
      <xdr:colOff>123826</xdr:colOff>
      <xdr:row>59</xdr:row>
      <xdr:rowOff>66675</xdr:rowOff>
    </xdr:from>
    <xdr:to>
      <xdr:col>18</xdr:col>
      <xdr:colOff>552451</xdr:colOff>
      <xdr:row>64</xdr:row>
      <xdr:rowOff>173202</xdr:rowOff>
    </xdr:to>
    <xdr:pic>
      <xdr:nvPicPr>
        <xdr:cNvPr id="11294" name="Picture 30"/>
        <xdr:cNvPicPr>
          <a:picLocks noChangeAspect="1" noChangeArrowheads="1"/>
        </xdr:cNvPicPr>
      </xdr:nvPicPr>
      <xdr:blipFill>
        <a:blip r:embed="rId7" cstate="print"/>
        <a:srcRect/>
        <a:stretch>
          <a:fillRect/>
        </a:stretch>
      </xdr:blipFill>
      <xdr:spPr>
        <a:xfrm>
          <a:off x="12582525" y="11369675"/>
          <a:ext cx="2400300" cy="988060"/>
        </a:xfrm>
        <a:prstGeom prst="rect">
          <a:avLst/>
        </a:prstGeom>
        <a:noFill/>
        <a:ln w="1">
          <a:noFill/>
          <a:miter lim="800000"/>
          <a:headEnd/>
          <a:tailEnd type="none" w="med" len="med"/>
        </a:ln>
        <a:effectLst/>
      </xdr:spPr>
    </xdr:pic>
    <xdr:clientData/>
  </xdr:twoCellAnchor>
  <xdr:twoCellAnchor editAs="oneCell">
    <xdr:from>
      <xdr:col>14</xdr:col>
      <xdr:colOff>647700</xdr:colOff>
      <xdr:row>41</xdr:row>
      <xdr:rowOff>123826</xdr:rowOff>
    </xdr:from>
    <xdr:to>
      <xdr:col>18</xdr:col>
      <xdr:colOff>390525</xdr:colOff>
      <xdr:row>47</xdr:row>
      <xdr:rowOff>95251</xdr:rowOff>
    </xdr:to>
    <xdr:pic>
      <xdr:nvPicPr>
        <xdr:cNvPr id="11289" name="Picture 25"/>
        <xdr:cNvPicPr>
          <a:picLocks noChangeAspect="1" noChangeArrowheads="1"/>
        </xdr:cNvPicPr>
      </xdr:nvPicPr>
      <xdr:blipFill>
        <a:blip r:embed="rId8" cstate="print"/>
        <a:srcRect/>
        <a:stretch>
          <a:fillRect/>
        </a:stretch>
      </xdr:blipFill>
      <xdr:spPr>
        <a:xfrm>
          <a:off x="12449175" y="8192135"/>
          <a:ext cx="2371725" cy="1051560"/>
        </a:xfrm>
        <a:prstGeom prst="rect">
          <a:avLst/>
        </a:prstGeom>
        <a:noFill/>
        <a:ln w="1">
          <a:noFill/>
          <a:miter lim="800000"/>
          <a:headEnd/>
          <a:tailEnd type="none" w="med" len="med"/>
        </a:ln>
        <a:effectLst/>
      </xdr:spPr>
    </xdr:pic>
    <xdr:clientData/>
  </xdr:twoCellAnchor>
  <xdr:twoCellAnchor editAs="oneCell">
    <xdr:from>
      <xdr:col>0</xdr:col>
      <xdr:colOff>0</xdr:colOff>
      <xdr:row>49</xdr:row>
      <xdr:rowOff>0</xdr:rowOff>
    </xdr:from>
    <xdr:to>
      <xdr:col>4</xdr:col>
      <xdr:colOff>512003</xdr:colOff>
      <xdr:row>64</xdr:row>
      <xdr:rowOff>0</xdr:rowOff>
    </xdr:to>
    <xdr:pic>
      <xdr:nvPicPr>
        <xdr:cNvPr id="11298" name="Picture 34"/>
        <xdr:cNvPicPr>
          <a:picLocks noChangeAspect="1" noChangeArrowheads="1"/>
        </xdr:cNvPicPr>
      </xdr:nvPicPr>
      <xdr:blipFill>
        <a:blip r:embed="rId9" cstate="print"/>
        <a:srcRect/>
        <a:stretch>
          <a:fillRect/>
        </a:stretch>
      </xdr:blipFill>
      <xdr:spPr>
        <a:xfrm>
          <a:off x="0" y="9512300"/>
          <a:ext cx="5798185" cy="2672715"/>
        </a:xfrm>
        <a:prstGeom prst="rect">
          <a:avLst/>
        </a:prstGeom>
        <a:noFill/>
        <a:ln w="1">
          <a:noFill/>
          <a:miter lim="800000"/>
          <a:headEnd/>
          <a:tailEnd type="none" w="med" len="med"/>
        </a:ln>
        <a:effectLst/>
      </xdr:spPr>
    </xdr:pic>
    <xdr:clientData/>
  </xdr:twoCellAnchor>
  <xdr:twoCellAnchor editAs="oneCell">
    <xdr:from>
      <xdr:col>0</xdr:col>
      <xdr:colOff>0</xdr:colOff>
      <xdr:row>66</xdr:row>
      <xdr:rowOff>0</xdr:rowOff>
    </xdr:from>
    <xdr:to>
      <xdr:col>4</xdr:col>
      <xdr:colOff>319347</xdr:colOff>
      <xdr:row>77</xdr:row>
      <xdr:rowOff>0</xdr:rowOff>
    </xdr:to>
    <xdr:pic>
      <xdr:nvPicPr>
        <xdr:cNvPr id="11299" name="Picture 35"/>
        <xdr:cNvPicPr>
          <a:picLocks noChangeAspect="1" noChangeArrowheads="1"/>
        </xdr:cNvPicPr>
      </xdr:nvPicPr>
      <xdr:blipFill>
        <a:blip r:embed="rId10" cstate="print"/>
        <a:srcRect/>
        <a:stretch>
          <a:fillRect/>
        </a:stretch>
      </xdr:blipFill>
      <xdr:spPr>
        <a:xfrm>
          <a:off x="0" y="12543155"/>
          <a:ext cx="5605145" cy="1927860"/>
        </a:xfrm>
        <a:prstGeom prst="rect">
          <a:avLst/>
        </a:prstGeom>
        <a:noFill/>
        <a:ln w="1">
          <a:noFill/>
          <a:miter lim="800000"/>
          <a:headEnd/>
          <a:tailEnd type="none" w="med" len="med"/>
        </a:ln>
        <a:effectLst/>
      </xdr:spPr>
    </xdr:pic>
    <xdr:clientData/>
  </xdr:twoCellAnchor>
  <xdr:twoCellAnchor editAs="oneCell">
    <xdr:from>
      <xdr:col>0</xdr:col>
      <xdr:colOff>9525</xdr:colOff>
      <xdr:row>77</xdr:row>
      <xdr:rowOff>0</xdr:rowOff>
    </xdr:from>
    <xdr:to>
      <xdr:col>4</xdr:col>
      <xdr:colOff>402136</xdr:colOff>
      <xdr:row>99</xdr:row>
      <xdr:rowOff>123825</xdr:rowOff>
    </xdr:to>
    <xdr:pic>
      <xdr:nvPicPr>
        <xdr:cNvPr id="11300" name="Picture 36"/>
        <xdr:cNvPicPr>
          <a:picLocks noChangeAspect="1" noChangeArrowheads="1"/>
        </xdr:cNvPicPr>
      </xdr:nvPicPr>
      <xdr:blipFill>
        <a:blip r:embed="rId11" cstate="print"/>
        <a:srcRect/>
        <a:stretch>
          <a:fillRect/>
        </a:stretch>
      </xdr:blipFill>
      <xdr:spPr>
        <a:xfrm>
          <a:off x="9525" y="14471015"/>
          <a:ext cx="5678805" cy="4088130"/>
        </a:xfrm>
        <a:prstGeom prst="rect">
          <a:avLst/>
        </a:prstGeom>
        <a:noFill/>
        <a:ln w="1">
          <a:noFill/>
          <a:miter lim="800000"/>
          <a:headEnd/>
          <a:tailEnd type="none" w="med" len="med"/>
        </a:ln>
        <a:effectLst/>
      </xdr:spPr>
    </xdr:pic>
    <xdr:clientData/>
  </xdr:twoCellAnchor>
  <xdr:twoCellAnchor editAs="oneCell">
    <xdr:from>
      <xdr:col>0</xdr:col>
      <xdr:colOff>0</xdr:colOff>
      <xdr:row>99</xdr:row>
      <xdr:rowOff>104774</xdr:rowOff>
    </xdr:from>
    <xdr:to>
      <xdr:col>4</xdr:col>
      <xdr:colOff>397007</xdr:colOff>
      <xdr:row>120</xdr:row>
      <xdr:rowOff>57150</xdr:rowOff>
    </xdr:to>
    <xdr:pic>
      <xdr:nvPicPr>
        <xdr:cNvPr id="11301" name="Picture 37"/>
        <xdr:cNvPicPr>
          <a:picLocks noChangeAspect="1" noChangeArrowheads="1"/>
        </xdr:cNvPicPr>
      </xdr:nvPicPr>
      <xdr:blipFill>
        <a:blip r:embed="rId12" cstate="print"/>
        <a:srcRect/>
        <a:stretch>
          <a:fillRect/>
        </a:stretch>
      </xdr:blipFill>
      <xdr:spPr>
        <a:xfrm>
          <a:off x="0" y="18539460"/>
          <a:ext cx="5683250" cy="3730625"/>
        </a:xfrm>
        <a:prstGeom prst="rect">
          <a:avLst/>
        </a:prstGeom>
        <a:noFill/>
        <a:ln w="1">
          <a:noFill/>
          <a:miter lim="800000"/>
          <a:headEnd/>
          <a:tailEnd type="none" w="med" len="med"/>
        </a:ln>
        <a:effectLst/>
      </xdr:spPr>
    </xdr:pic>
    <xdr:clientData/>
  </xdr:twoCellAnchor>
  <xdr:twoCellAnchor editAs="oneCell">
    <xdr:from>
      <xdr:col>0</xdr:col>
      <xdr:colOff>0</xdr:colOff>
      <xdr:row>122</xdr:row>
      <xdr:rowOff>0</xdr:rowOff>
    </xdr:from>
    <xdr:to>
      <xdr:col>7</xdr:col>
      <xdr:colOff>0</xdr:colOff>
      <xdr:row>140</xdr:row>
      <xdr:rowOff>133350</xdr:rowOff>
    </xdr:to>
    <xdr:pic>
      <xdr:nvPicPr>
        <xdr:cNvPr id="11302" name="Picture 38"/>
        <xdr:cNvPicPr>
          <a:picLocks noChangeAspect="1" noChangeArrowheads="1"/>
        </xdr:cNvPicPr>
      </xdr:nvPicPr>
      <xdr:blipFill>
        <a:blip r:embed="rId13" cstate="print"/>
        <a:srcRect/>
        <a:stretch>
          <a:fillRect/>
        </a:stretch>
      </xdr:blipFill>
      <xdr:spPr>
        <a:xfrm>
          <a:off x="0" y="22605365"/>
          <a:ext cx="7200900" cy="3916680"/>
        </a:xfrm>
        <a:prstGeom prst="rect">
          <a:avLst/>
        </a:prstGeom>
        <a:noFill/>
        <a:ln w="1">
          <a:noFill/>
          <a:miter lim="800000"/>
          <a:headEnd/>
          <a:tailEnd type="none" w="med" len="med"/>
        </a:ln>
        <a:effectLst/>
      </xdr:spPr>
    </xdr:pic>
    <xdr:clientData/>
  </xdr:twoCellAnchor>
  <xdr:twoCellAnchor editAs="oneCell">
    <xdr:from>
      <xdr:col>0</xdr:col>
      <xdr:colOff>9525</xdr:colOff>
      <xdr:row>141</xdr:row>
      <xdr:rowOff>85725</xdr:rowOff>
    </xdr:from>
    <xdr:to>
      <xdr:col>7</xdr:col>
      <xdr:colOff>0</xdr:colOff>
      <xdr:row>154</xdr:row>
      <xdr:rowOff>47625</xdr:rowOff>
    </xdr:to>
    <xdr:pic>
      <xdr:nvPicPr>
        <xdr:cNvPr id="11303" name="Picture 39"/>
        <xdr:cNvPicPr>
          <a:picLocks noChangeAspect="1" noChangeArrowheads="1"/>
        </xdr:cNvPicPr>
      </xdr:nvPicPr>
      <xdr:blipFill>
        <a:blip r:embed="rId14" cstate="print"/>
        <a:srcRect/>
        <a:stretch>
          <a:fillRect/>
        </a:stretch>
      </xdr:blipFill>
      <xdr:spPr>
        <a:xfrm>
          <a:off x="9525" y="26691590"/>
          <a:ext cx="7191375" cy="2785110"/>
        </a:xfrm>
        <a:prstGeom prst="rect">
          <a:avLst/>
        </a:prstGeom>
        <a:noFill/>
        <a:ln w="1">
          <a:noFill/>
          <a:miter lim="800000"/>
          <a:headEnd/>
          <a:tailEnd type="none" w="med" len="med"/>
        </a:ln>
        <a:effectLst/>
      </xdr:spPr>
    </xdr:pic>
    <xdr:clientData/>
  </xdr:twoCellAnchor>
  <xdr:twoCellAnchor editAs="oneCell">
    <xdr:from>
      <xdr:col>0</xdr:col>
      <xdr:colOff>9525</xdr:colOff>
      <xdr:row>156</xdr:row>
      <xdr:rowOff>0</xdr:rowOff>
    </xdr:from>
    <xdr:to>
      <xdr:col>6</xdr:col>
      <xdr:colOff>314325</xdr:colOff>
      <xdr:row>179</xdr:row>
      <xdr:rowOff>0</xdr:rowOff>
    </xdr:to>
    <xdr:pic>
      <xdr:nvPicPr>
        <xdr:cNvPr id="11304" name="Picture 40"/>
        <xdr:cNvPicPr>
          <a:picLocks noChangeAspect="1" noChangeArrowheads="1"/>
        </xdr:cNvPicPr>
      </xdr:nvPicPr>
      <xdr:blipFill>
        <a:blip r:embed="rId15" cstate="print"/>
        <a:srcRect/>
        <a:stretch>
          <a:fillRect/>
        </a:stretch>
      </xdr:blipFill>
      <xdr:spPr>
        <a:xfrm>
          <a:off x="9525" y="29863415"/>
          <a:ext cx="6848475" cy="4994910"/>
        </a:xfrm>
        <a:prstGeom prst="rect">
          <a:avLst/>
        </a:prstGeom>
        <a:noFill/>
        <a:ln w="1">
          <a:noFill/>
          <a:miter lim="800000"/>
          <a:headEnd/>
          <a:tailEnd type="none" w="med" len="med"/>
        </a:ln>
        <a:effectLst/>
      </xdr:spPr>
    </xdr:pic>
    <xdr:clientData/>
  </xdr:twoCellAnchor>
  <xdr:twoCellAnchor editAs="oneCell">
    <xdr:from>
      <xdr:col>0</xdr:col>
      <xdr:colOff>9525</xdr:colOff>
      <xdr:row>179</xdr:row>
      <xdr:rowOff>0</xdr:rowOff>
    </xdr:from>
    <xdr:to>
      <xdr:col>6</xdr:col>
      <xdr:colOff>314325</xdr:colOff>
      <xdr:row>206</xdr:row>
      <xdr:rowOff>133350</xdr:rowOff>
    </xdr:to>
    <xdr:pic>
      <xdr:nvPicPr>
        <xdr:cNvPr id="11305" name="Picture 41"/>
        <xdr:cNvPicPr>
          <a:picLocks noChangeAspect="1" noChangeArrowheads="1"/>
        </xdr:cNvPicPr>
      </xdr:nvPicPr>
      <xdr:blipFill>
        <a:blip r:embed="rId16" cstate="print"/>
        <a:srcRect/>
        <a:stretch>
          <a:fillRect/>
        </a:stretch>
      </xdr:blipFill>
      <xdr:spPr>
        <a:xfrm>
          <a:off x="9525" y="34858325"/>
          <a:ext cx="6848475" cy="5996940"/>
        </a:xfrm>
        <a:prstGeom prst="rect">
          <a:avLst/>
        </a:prstGeom>
        <a:noFill/>
        <a:ln w="1">
          <a:noFill/>
          <a:miter lim="800000"/>
          <a:headEnd/>
          <a:tailEnd type="none" w="med" len="med"/>
        </a:ln>
        <a:effectLst/>
      </xdr:spPr>
    </xdr:pic>
    <xdr:clientData/>
  </xdr:twoCellAnchor>
  <xdr:twoCellAnchor editAs="oneCell">
    <xdr:from>
      <xdr:col>0</xdr:col>
      <xdr:colOff>0</xdr:colOff>
      <xdr:row>206</xdr:row>
      <xdr:rowOff>123825</xdr:rowOff>
    </xdr:from>
    <xdr:to>
      <xdr:col>6</xdr:col>
      <xdr:colOff>314325</xdr:colOff>
      <xdr:row>229</xdr:row>
      <xdr:rowOff>28575</xdr:rowOff>
    </xdr:to>
    <xdr:pic>
      <xdr:nvPicPr>
        <xdr:cNvPr id="11306" name="Picture 42"/>
        <xdr:cNvPicPr>
          <a:picLocks noChangeAspect="1" noChangeArrowheads="1"/>
        </xdr:cNvPicPr>
      </xdr:nvPicPr>
      <xdr:blipFill>
        <a:blip r:embed="rId17" cstate="print"/>
        <a:srcRect/>
        <a:stretch>
          <a:fillRect/>
        </a:stretch>
      </xdr:blipFill>
      <xdr:spPr>
        <a:xfrm>
          <a:off x="0" y="40845740"/>
          <a:ext cx="6858000" cy="4899660"/>
        </a:xfrm>
        <a:prstGeom prst="rect">
          <a:avLst/>
        </a:prstGeom>
        <a:noFill/>
        <a:ln w="1">
          <a:noFill/>
          <a:miter lim="800000"/>
          <a:headEnd/>
          <a:tailEnd type="none" w="med" len="med"/>
        </a:ln>
        <a:effectLst/>
      </xdr:spPr>
    </xdr:pic>
    <xdr:clientData/>
  </xdr:twoCellAnchor>
  <xdr:twoCellAnchor editAs="oneCell">
    <xdr:from>
      <xdr:col>1</xdr:col>
      <xdr:colOff>1057275</xdr:colOff>
      <xdr:row>35</xdr:row>
      <xdr:rowOff>152400</xdr:rowOff>
    </xdr:from>
    <xdr:to>
      <xdr:col>3</xdr:col>
      <xdr:colOff>1181100</xdr:colOff>
      <xdr:row>39</xdr:row>
      <xdr:rowOff>171450</xdr:rowOff>
    </xdr:to>
    <xdr:pic>
      <xdr:nvPicPr>
        <xdr:cNvPr id="11307" name="Picture 43"/>
        <xdr:cNvPicPr>
          <a:picLocks noChangeAspect="1" noChangeArrowheads="1"/>
        </xdr:cNvPicPr>
      </xdr:nvPicPr>
      <xdr:blipFill>
        <a:blip r:embed="rId18" cstate="print"/>
        <a:srcRect/>
        <a:stretch>
          <a:fillRect/>
        </a:stretch>
      </xdr:blipFill>
      <xdr:spPr>
        <a:xfrm>
          <a:off x="2247900" y="7123430"/>
          <a:ext cx="2876550" cy="74295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20" name="五边形 19">
          <a:hlinkClick xmlns:r="http://schemas.openxmlformats.org/officeDocument/2006/relationships" r:id="rId19"/>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9525</xdr:colOff>
      <xdr:row>137</xdr:row>
      <xdr:rowOff>85725</xdr:rowOff>
    </xdr:from>
    <xdr:to>
      <xdr:col>6</xdr:col>
      <xdr:colOff>95250</xdr:colOff>
      <xdr:row>148</xdr:row>
      <xdr:rowOff>47625</xdr:rowOff>
    </xdr:to>
    <xdr:pic>
      <xdr:nvPicPr>
        <xdr:cNvPr id="15" name="Picture 39"/>
        <xdr:cNvPicPr>
          <a:picLocks noChangeAspect="1" noChangeArrowheads="1"/>
        </xdr:cNvPicPr>
      </xdr:nvPicPr>
      <xdr:blipFill>
        <a:blip r:embed="rId1" cstate="print"/>
        <a:srcRect/>
        <a:stretch>
          <a:fillRect/>
        </a:stretch>
      </xdr:blipFill>
      <xdr:spPr>
        <a:xfrm>
          <a:off x="9525" y="35081210"/>
          <a:ext cx="7191375" cy="2769870"/>
        </a:xfrm>
        <a:prstGeom prst="rect">
          <a:avLst/>
        </a:prstGeom>
        <a:noFill/>
        <a:ln w="1">
          <a:noFill/>
          <a:miter lim="800000"/>
          <a:headEnd/>
          <a:tailEnd type="none" w="med" len="med"/>
        </a:ln>
        <a:effectLst/>
      </xdr:spPr>
    </xdr:pic>
    <xdr:clientData/>
  </xdr:twoCellAnchor>
  <xdr:twoCellAnchor editAs="oneCell">
    <xdr:from>
      <xdr:col>0</xdr:col>
      <xdr:colOff>9525</xdr:colOff>
      <xdr:row>152</xdr:row>
      <xdr:rowOff>0</xdr:rowOff>
    </xdr:from>
    <xdr:to>
      <xdr:col>5</xdr:col>
      <xdr:colOff>561975</xdr:colOff>
      <xdr:row>171</xdr:row>
      <xdr:rowOff>114300</xdr:rowOff>
    </xdr:to>
    <xdr:pic>
      <xdr:nvPicPr>
        <xdr:cNvPr id="16" name="Picture 40"/>
        <xdr:cNvPicPr>
          <a:picLocks noChangeAspect="1" noChangeArrowheads="1"/>
        </xdr:cNvPicPr>
      </xdr:nvPicPr>
      <xdr:blipFill>
        <a:blip r:embed="rId2" cstate="print"/>
        <a:srcRect/>
        <a:stretch>
          <a:fillRect/>
        </a:stretch>
      </xdr:blipFill>
      <xdr:spPr>
        <a:xfrm>
          <a:off x="9525" y="38824535"/>
          <a:ext cx="6848475" cy="4964430"/>
        </a:xfrm>
        <a:prstGeom prst="rect">
          <a:avLst/>
        </a:prstGeom>
        <a:noFill/>
        <a:ln w="1">
          <a:noFill/>
          <a:miter lim="800000"/>
          <a:headEnd/>
          <a:tailEnd type="none" w="med" len="med"/>
        </a:ln>
        <a:effectLst/>
      </xdr:spPr>
    </xdr:pic>
    <xdr:clientData/>
  </xdr:twoCellAnchor>
  <xdr:twoCellAnchor editAs="oneCell">
    <xdr:from>
      <xdr:col>0</xdr:col>
      <xdr:colOff>9525</xdr:colOff>
      <xdr:row>175</xdr:row>
      <xdr:rowOff>0</xdr:rowOff>
    </xdr:from>
    <xdr:to>
      <xdr:col>5</xdr:col>
      <xdr:colOff>561975</xdr:colOff>
      <xdr:row>198</xdr:row>
      <xdr:rowOff>95250</xdr:rowOff>
    </xdr:to>
    <xdr:pic>
      <xdr:nvPicPr>
        <xdr:cNvPr id="17" name="Picture 41"/>
        <xdr:cNvPicPr>
          <a:picLocks noChangeAspect="1" noChangeArrowheads="1"/>
        </xdr:cNvPicPr>
      </xdr:nvPicPr>
      <xdr:blipFill>
        <a:blip r:embed="rId3" cstate="print"/>
        <a:srcRect/>
        <a:stretch>
          <a:fillRect/>
        </a:stretch>
      </xdr:blipFill>
      <xdr:spPr>
        <a:xfrm>
          <a:off x="9525" y="44695745"/>
          <a:ext cx="6848475" cy="5966460"/>
        </a:xfrm>
        <a:prstGeom prst="rect">
          <a:avLst/>
        </a:prstGeom>
        <a:noFill/>
        <a:ln w="1">
          <a:noFill/>
          <a:miter lim="800000"/>
          <a:headEnd/>
          <a:tailEnd type="none" w="med" len="med"/>
        </a:ln>
        <a:effectLst/>
      </xdr:spPr>
    </xdr:pic>
    <xdr:clientData/>
  </xdr:twoCellAnchor>
  <xdr:twoCellAnchor editAs="oneCell">
    <xdr:from>
      <xdr:col>0</xdr:col>
      <xdr:colOff>0</xdr:colOff>
      <xdr:row>202</xdr:row>
      <xdr:rowOff>123825</xdr:rowOff>
    </xdr:from>
    <xdr:to>
      <xdr:col>5</xdr:col>
      <xdr:colOff>561975</xdr:colOff>
      <xdr:row>221</xdr:row>
      <xdr:rowOff>142875</xdr:rowOff>
    </xdr:to>
    <xdr:pic>
      <xdr:nvPicPr>
        <xdr:cNvPr id="18" name="Picture 42"/>
        <xdr:cNvPicPr>
          <a:picLocks noChangeAspect="1" noChangeArrowheads="1"/>
        </xdr:cNvPicPr>
      </xdr:nvPicPr>
      <xdr:blipFill>
        <a:blip r:embed="rId4" cstate="print"/>
        <a:srcRect/>
        <a:stretch>
          <a:fillRect/>
        </a:stretch>
      </xdr:blipFill>
      <xdr:spPr>
        <a:xfrm>
          <a:off x="0" y="51711860"/>
          <a:ext cx="6858000" cy="4869180"/>
        </a:xfrm>
        <a:prstGeom prst="rect">
          <a:avLst/>
        </a:prstGeom>
        <a:noFill/>
        <a:ln w="1">
          <a:noFill/>
          <a:miter lim="800000"/>
          <a:headEnd/>
          <a:tailEnd type="none" w="med" len="med"/>
        </a:ln>
        <a:effectLst/>
      </xdr:spPr>
    </xdr:pic>
    <xdr:clientData/>
  </xdr:twoCellAnchor>
  <xdr:twoCellAnchor editAs="oneCell">
    <xdr:from>
      <xdr:col>12</xdr:col>
      <xdr:colOff>438150</xdr:colOff>
      <xdr:row>23</xdr:row>
      <xdr:rowOff>0</xdr:rowOff>
    </xdr:from>
    <xdr:to>
      <xdr:col>13</xdr:col>
      <xdr:colOff>600982</xdr:colOff>
      <xdr:row>25</xdr:row>
      <xdr:rowOff>114300</xdr:rowOff>
    </xdr:to>
    <xdr:pic>
      <xdr:nvPicPr>
        <xdr:cNvPr id="12295" name="Picture 7"/>
        <xdr:cNvPicPr>
          <a:picLocks noChangeAspect="1" noChangeArrowheads="1"/>
        </xdr:cNvPicPr>
      </xdr:nvPicPr>
      <xdr:blipFill>
        <a:blip r:embed="rId5" cstate="print"/>
        <a:srcRect/>
        <a:stretch>
          <a:fillRect/>
        </a:stretch>
      </xdr:blipFill>
      <xdr:spPr>
        <a:xfrm>
          <a:off x="12401550" y="5894705"/>
          <a:ext cx="972185" cy="624840"/>
        </a:xfrm>
        <a:prstGeom prst="rect">
          <a:avLst/>
        </a:prstGeom>
        <a:noFill/>
        <a:ln w="1">
          <a:noFill/>
          <a:miter lim="800000"/>
          <a:headEnd/>
          <a:tailEnd type="none" w="med" len="med"/>
        </a:ln>
        <a:effectLst/>
      </xdr:spPr>
    </xdr:pic>
    <xdr:clientData/>
  </xdr:twoCellAnchor>
  <xdr:twoCellAnchor editAs="oneCell">
    <xdr:from>
      <xdr:col>5</xdr:col>
      <xdr:colOff>9525</xdr:colOff>
      <xdr:row>1</xdr:row>
      <xdr:rowOff>9525</xdr:rowOff>
    </xdr:from>
    <xdr:to>
      <xdr:col>8</xdr:col>
      <xdr:colOff>466725</xdr:colOff>
      <xdr:row>5</xdr:row>
      <xdr:rowOff>47625</xdr:rowOff>
    </xdr:to>
    <xdr:pic>
      <xdr:nvPicPr>
        <xdr:cNvPr id="12297" name="Picture 9"/>
        <xdr:cNvPicPr>
          <a:picLocks noChangeAspect="1" noChangeArrowheads="1"/>
        </xdr:cNvPicPr>
      </xdr:nvPicPr>
      <xdr:blipFill>
        <a:blip r:embed="rId6" cstate="print"/>
        <a:srcRect/>
        <a:stretch>
          <a:fillRect/>
        </a:stretch>
      </xdr:blipFill>
      <xdr:spPr>
        <a:xfrm>
          <a:off x="6305550" y="288290"/>
          <a:ext cx="2886075" cy="1059180"/>
        </a:xfrm>
        <a:prstGeom prst="rect">
          <a:avLst/>
        </a:prstGeom>
        <a:noFill/>
        <a:ln w="1">
          <a:noFill/>
          <a:miter lim="800000"/>
          <a:headEnd/>
          <a:tailEnd type="none" w="med" len="med"/>
        </a:ln>
        <a:effectLst/>
      </xdr:spPr>
    </xdr:pic>
    <xdr:clientData/>
  </xdr:twoCellAnchor>
  <xdr:twoCellAnchor editAs="oneCell">
    <xdr:from>
      <xdr:col>5</xdr:col>
      <xdr:colOff>9525</xdr:colOff>
      <xdr:row>20</xdr:row>
      <xdr:rowOff>1</xdr:rowOff>
    </xdr:from>
    <xdr:to>
      <xdr:col>15</xdr:col>
      <xdr:colOff>276225</xdr:colOff>
      <xdr:row>37</xdr:row>
      <xdr:rowOff>204690</xdr:rowOff>
    </xdr:to>
    <xdr:pic>
      <xdr:nvPicPr>
        <xdr:cNvPr id="12304" name="Picture 16"/>
        <xdr:cNvPicPr>
          <a:picLocks noChangeAspect="1" noChangeArrowheads="1"/>
        </xdr:cNvPicPr>
      </xdr:nvPicPr>
      <xdr:blipFill>
        <a:blip r:embed="rId7" cstate="print"/>
        <a:srcRect/>
        <a:stretch>
          <a:fillRect/>
        </a:stretch>
      </xdr:blipFill>
      <xdr:spPr>
        <a:xfrm>
          <a:off x="6305550" y="5128895"/>
          <a:ext cx="8362950" cy="4544060"/>
        </a:xfrm>
        <a:prstGeom prst="rect">
          <a:avLst/>
        </a:prstGeom>
        <a:noFill/>
        <a:ln w="1">
          <a:noFill/>
          <a:miter lim="800000"/>
          <a:headEnd/>
          <a:tailEnd type="none" w="med" len="med"/>
        </a:ln>
        <a:effectLst/>
      </xdr:spPr>
    </xdr:pic>
    <xdr:clientData/>
  </xdr:twoCellAnchor>
  <xdr:twoCellAnchor editAs="oneCell">
    <xdr:from>
      <xdr:col>13</xdr:col>
      <xdr:colOff>9525</xdr:colOff>
      <xdr:row>12</xdr:row>
      <xdr:rowOff>9525</xdr:rowOff>
    </xdr:from>
    <xdr:to>
      <xdr:col>16</xdr:col>
      <xdr:colOff>485775</xdr:colOff>
      <xdr:row>19</xdr:row>
      <xdr:rowOff>362</xdr:rowOff>
    </xdr:to>
    <xdr:pic>
      <xdr:nvPicPr>
        <xdr:cNvPr id="12305" name="Picture 17"/>
        <xdr:cNvPicPr>
          <a:picLocks noChangeAspect="1" noChangeArrowheads="1"/>
        </xdr:cNvPicPr>
      </xdr:nvPicPr>
      <xdr:blipFill>
        <a:blip r:embed="rId8" cstate="print"/>
        <a:srcRect/>
        <a:stretch>
          <a:fillRect/>
        </a:stretch>
      </xdr:blipFill>
      <xdr:spPr>
        <a:xfrm>
          <a:off x="12782550" y="3096260"/>
          <a:ext cx="2905125" cy="1777365"/>
        </a:xfrm>
        <a:prstGeom prst="rect">
          <a:avLst/>
        </a:prstGeom>
        <a:noFill/>
        <a:ln w="1">
          <a:noFill/>
          <a:miter lim="800000"/>
          <a:headEnd/>
          <a:tailEnd type="none" w="med" len="med"/>
        </a:ln>
        <a:effectLst/>
      </xdr:spPr>
    </xdr:pic>
    <xdr:clientData/>
  </xdr:twoCellAnchor>
  <xdr:twoCellAnchor editAs="oneCell">
    <xdr:from>
      <xdr:col>5</xdr:col>
      <xdr:colOff>0</xdr:colOff>
      <xdr:row>40</xdr:row>
      <xdr:rowOff>0</xdr:rowOff>
    </xdr:from>
    <xdr:to>
      <xdr:col>10</xdr:col>
      <xdr:colOff>276225</xdr:colOff>
      <xdr:row>47</xdr:row>
      <xdr:rowOff>85725</xdr:rowOff>
    </xdr:to>
    <xdr:pic>
      <xdr:nvPicPr>
        <xdr:cNvPr id="12306" name="Picture 18"/>
        <xdr:cNvPicPr>
          <a:picLocks noChangeAspect="1" noChangeArrowheads="1"/>
        </xdr:cNvPicPr>
      </xdr:nvPicPr>
      <xdr:blipFill>
        <a:blip r:embed="rId9" cstate="print"/>
        <a:srcRect/>
        <a:stretch>
          <a:fillRect/>
        </a:stretch>
      </xdr:blipFill>
      <xdr:spPr>
        <a:xfrm>
          <a:off x="6296025" y="10234295"/>
          <a:ext cx="4324350" cy="1872615"/>
        </a:xfrm>
        <a:prstGeom prst="rect">
          <a:avLst/>
        </a:prstGeom>
        <a:noFill/>
        <a:ln w="1">
          <a:noFill/>
          <a:miter lim="800000"/>
          <a:headEnd/>
          <a:tailEnd type="none" w="med" len="med"/>
        </a:ln>
        <a:effectLst/>
      </xdr:spPr>
    </xdr:pic>
    <xdr:clientData/>
  </xdr:twoCellAnchor>
  <xdr:twoCellAnchor editAs="oneCell">
    <xdr:from>
      <xdr:col>10</xdr:col>
      <xdr:colOff>390525</xdr:colOff>
      <xdr:row>40</xdr:row>
      <xdr:rowOff>38100</xdr:rowOff>
    </xdr:from>
    <xdr:to>
      <xdr:col>12</xdr:col>
      <xdr:colOff>561975</xdr:colOff>
      <xdr:row>44</xdr:row>
      <xdr:rowOff>219075</xdr:rowOff>
    </xdr:to>
    <xdr:pic>
      <xdr:nvPicPr>
        <xdr:cNvPr id="12308" name="Picture 20"/>
        <xdr:cNvPicPr>
          <a:picLocks noChangeAspect="1" noChangeArrowheads="1"/>
        </xdr:cNvPicPr>
      </xdr:nvPicPr>
      <xdr:blipFill>
        <a:blip r:embed="rId10" cstate="print"/>
        <a:srcRect/>
        <a:stretch>
          <a:fillRect/>
        </a:stretch>
      </xdr:blipFill>
      <xdr:spPr>
        <a:xfrm>
          <a:off x="10734675" y="10272395"/>
          <a:ext cx="1790700" cy="1202055"/>
        </a:xfrm>
        <a:prstGeom prst="rect">
          <a:avLst/>
        </a:prstGeom>
        <a:noFill/>
        <a:ln w="1">
          <a:noFill/>
          <a:miter lim="800000"/>
          <a:headEnd/>
          <a:tailEnd type="none" w="med" len="med"/>
        </a:ln>
        <a:effectLst/>
      </xdr:spPr>
    </xdr:pic>
    <xdr:clientData/>
  </xdr:twoCellAnchor>
  <xdr:twoCellAnchor editAs="oneCell">
    <xdr:from>
      <xdr:col>0</xdr:col>
      <xdr:colOff>0</xdr:colOff>
      <xdr:row>51</xdr:row>
      <xdr:rowOff>9524</xdr:rowOff>
    </xdr:from>
    <xdr:to>
      <xdr:col>4</xdr:col>
      <xdr:colOff>247649</xdr:colOff>
      <xdr:row>65</xdr:row>
      <xdr:rowOff>247649</xdr:rowOff>
    </xdr:to>
    <xdr:pic>
      <xdr:nvPicPr>
        <xdr:cNvPr id="12309" name="Picture 21"/>
        <xdr:cNvPicPr>
          <a:picLocks noChangeAspect="1" noChangeArrowheads="1"/>
        </xdr:cNvPicPr>
      </xdr:nvPicPr>
      <xdr:blipFill>
        <a:blip r:embed="rId11" cstate="print"/>
        <a:srcRect/>
        <a:stretch>
          <a:fillRect/>
        </a:stretch>
      </xdr:blipFill>
      <xdr:spPr>
        <a:xfrm>
          <a:off x="0" y="13051155"/>
          <a:ext cx="5942965" cy="3811905"/>
        </a:xfrm>
        <a:prstGeom prst="rect">
          <a:avLst/>
        </a:prstGeom>
        <a:noFill/>
        <a:ln w="1">
          <a:noFill/>
          <a:miter lim="800000"/>
          <a:headEnd/>
          <a:tailEnd type="none" w="med" len="med"/>
        </a:ln>
        <a:effectLst/>
      </xdr:spPr>
    </xdr:pic>
    <xdr:clientData/>
  </xdr:twoCellAnchor>
  <xdr:twoCellAnchor editAs="oneCell">
    <xdr:from>
      <xdr:col>5</xdr:col>
      <xdr:colOff>0</xdr:colOff>
      <xdr:row>49</xdr:row>
      <xdr:rowOff>0</xdr:rowOff>
    </xdr:from>
    <xdr:to>
      <xdr:col>14</xdr:col>
      <xdr:colOff>781050</xdr:colOff>
      <xdr:row>58</xdr:row>
      <xdr:rowOff>9525</xdr:rowOff>
    </xdr:to>
    <xdr:pic>
      <xdr:nvPicPr>
        <xdr:cNvPr id="12310" name="Picture 22"/>
        <xdr:cNvPicPr>
          <a:picLocks noChangeAspect="1" noChangeArrowheads="1"/>
        </xdr:cNvPicPr>
      </xdr:nvPicPr>
      <xdr:blipFill>
        <a:blip r:embed="rId12" cstate="print"/>
        <a:srcRect/>
        <a:stretch>
          <a:fillRect/>
        </a:stretch>
      </xdr:blipFill>
      <xdr:spPr>
        <a:xfrm>
          <a:off x="6296025" y="12531725"/>
          <a:ext cx="8067675" cy="2306955"/>
        </a:xfrm>
        <a:prstGeom prst="rect">
          <a:avLst/>
        </a:prstGeom>
        <a:noFill/>
        <a:ln w="1">
          <a:noFill/>
          <a:miter lim="800000"/>
          <a:headEnd/>
          <a:tailEnd type="none" w="med" len="med"/>
        </a:ln>
        <a:effectLst/>
      </xdr:spPr>
    </xdr:pic>
    <xdr:clientData/>
  </xdr:twoCellAnchor>
  <xdr:twoCellAnchor editAs="oneCell">
    <xdr:from>
      <xdr:col>3</xdr:col>
      <xdr:colOff>9526</xdr:colOff>
      <xdr:row>3</xdr:row>
      <xdr:rowOff>9524</xdr:rowOff>
    </xdr:from>
    <xdr:to>
      <xdr:col>4</xdr:col>
      <xdr:colOff>0</xdr:colOff>
      <xdr:row>6</xdr:row>
      <xdr:rowOff>38100</xdr:rowOff>
    </xdr:to>
    <xdr:pic>
      <xdr:nvPicPr>
        <xdr:cNvPr id="12313" name="Picture 25"/>
        <xdr:cNvPicPr>
          <a:picLocks noChangeAspect="1" noChangeArrowheads="1"/>
        </xdr:cNvPicPr>
      </xdr:nvPicPr>
      <xdr:blipFill>
        <a:blip r:embed="rId13" cstate="print"/>
        <a:srcRect/>
        <a:stretch>
          <a:fillRect/>
        </a:stretch>
      </xdr:blipFill>
      <xdr:spPr>
        <a:xfrm>
          <a:off x="4362450" y="798195"/>
          <a:ext cx="1333500" cy="795020"/>
        </a:xfrm>
        <a:prstGeom prst="rect">
          <a:avLst/>
        </a:prstGeom>
        <a:noFill/>
        <a:ln w="1">
          <a:noFill/>
          <a:miter lim="800000"/>
          <a:headEnd/>
          <a:tailEnd type="none" w="med" len="med"/>
        </a:ln>
        <a:effectLst/>
      </xdr:spPr>
    </xdr:pic>
    <xdr:clientData/>
  </xdr:twoCellAnchor>
  <xdr:twoCellAnchor editAs="oneCell">
    <xdr:from>
      <xdr:col>0</xdr:col>
      <xdr:colOff>171450</xdr:colOff>
      <xdr:row>37</xdr:row>
      <xdr:rowOff>66675</xdr:rowOff>
    </xdr:from>
    <xdr:to>
      <xdr:col>1</xdr:col>
      <xdr:colOff>1469197</xdr:colOff>
      <xdr:row>42</xdr:row>
      <xdr:rowOff>123824</xdr:rowOff>
    </xdr:to>
    <xdr:pic>
      <xdr:nvPicPr>
        <xdr:cNvPr id="12314" name="Picture 26"/>
        <xdr:cNvPicPr>
          <a:picLocks noChangeAspect="1" noChangeArrowheads="1"/>
        </xdr:cNvPicPr>
      </xdr:nvPicPr>
      <xdr:blipFill>
        <a:blip r:embed="rId14" cstate="print"/>
        <a:srcRect/>
        <a:stretch>
          <a:fillRect/>
        </a:stretch>
      </xdr:blipFill>
      <xdr:spPr>
        <a:xfrm>
          <a:off x="171450" y="9535160"/>
          <a:ext cx="2487930" cy="1332865"/>
        </a:xfrm>
        <a:prstGeom prst="rect">
          <a:avLst/>
        </a:prstGeom>
        <a:noFill/>
        <a:ln w="1">
          <a:noFill/>
          <a:miter lim="800000"/>
          <a:headEnd/>
          <a:tailEnd type="none" w="med" len="med"/>
        </a:ln>
        <a:effectLst/>
      </xdr:spPr>
    </xdr:pic>
    <xdr:clientData/>
  </xdr:twoCellAnchor>
  <xdr:twoCellAnchor editAs="oneCell">
    <xdr:from>
      <xdr:col>1</xdr:col>
      <xdr:colOff>1847849</xdr:colOff>
      <xdr:row>34</xdr:row>
      <xdr:rowOff>17197</xdr:rowOff>
    </xdr:from>
    <xdr:to>
      <xdr:col>3</xdr:col>
      <xdr:colOff>971550</xdr:colOff>
      <xdr:row>39</xdr:row>
      <xdr:rowOff>123825</xdr:rowOff>
    </xdr:to>
    <xdr:pic>
      <xdr:nvPicPr>
        <xdr:cNvPr id="12315" name="Picture 27"/>
        <xdr:cNvPicPr>
          <a:picLocks noChangeAspect="1" noChangeArrowheads="1"/>
        </xdr:cNvPicPr>
      </xdr:nvPicPr>
      <xdr:blipFill>
        <a:blip r:embed="rId15" cstate="print"/>
        <a:srcRect/>
        <a:stretch>
          <a:fillRect/>
        </a:stretch>
      </xdr:blipFill>
      <xdr:spPr>
        <a:xfrm>
          <a:off x="3037840" y="8719820"/>
          <a:ext cx="2286635" cy="1383030"/>
        </a:xfrm>
        <a:prstGeom prst="rect">
          <a:avLst/>
        </a:prstGeom>
        <a:noFill/>
        <a:ln w="1">
          <a:noFill/>
          <a:miter lim="800000"/>
          <a:headEnd/>
          <a:tailEnd type="none" w="med" len="med"/>
        </a:ln>
        <a:effectLst/>
      </xdr:spPr>
    </xdr:pic>
    <xdr:clientData/>
  </xdr:twoCellAnchor>
  <xdr:twoCellAnchor editAs="oneCell">
    <xdr:from>
      <xdr:col>1</xdr:col>
      <xdr:colOff>1600200</xdr:colOff>
      <xdr:row>38</xdr:row>
      <xdr:rowOff>209551</xdr:rowOff>
    </xdr:from>
    <xdr:to>
      <xdr:col>3</xdr:col>
      <xdr:colOff>1076325</xdr:colOff>
      <xdr:row>44</xdr:row>
      <xdr:rowOff>209551</xdr:rowOff>
    </xdr:to>
    <xdr:pic>
      <xdr:nvPicPr>
        <xdr:cNvPr id="12316" name="Picture 28"/>
        <xdr:cNvPicPr>
          <a:picLocks noChangeAspect="1" noChangeArrowheads="1"/>
        </xdr:cNvPicPr>
      </xdr:nvPicPr>
      <xdr:blipFill>
        <a:blip r:embed="rId16" cstate="print"/>
        <a:srcRect/>
        <a:stretch>
          <a:fillRect/>
        </a:stretch>
      </xdr:blipFill>
      <xdr:spPr>
        <a:xfrm>
          <a:off x="2790825" y="9933305"/>
          <a:ext cx="2638425" cy="1531620"/>
        </a:xfrm>
        <a:prstGeom prst="rect">
          <a:avLst/>
        </a:prstGeom>
        <a:noFill/>
        <a:ln w="1">
          <a:noFill/>
          <a:miter lim="800000"/>
          <a:headEnd/>
          <a:tailEnd type="none" w="med" len="med"/>
        </a:ln>
        <a:effectLst/>
      </xdr:spPr>
    </xdr:pic>
    <xdr:clientData/>
  </xdr:twoCellAnchor>
  <xdr:twoCellAnchor editAs="oneCell">
    <xdr:from>
      <xdr:col>0</xdr:col>
      <xdr:colOff>371475</xdr:colOff>
      <xdr:row>36</xdr:row>
      <xdr:rowOff>38100</xdr:rowOff>
    </xdr:from>
    <xdr:to>
      <xdr:col>1</xdr:col>
      <xdr:colOff>638175</xdr:colOff>
      <xdr:row>37</xdr:row>
      <xdr:rowOff>209550</xdr:rowOff>
    </xdr:to>
    <xdr:pic>
      <xdr:nvPicPr>
        <xdr:cNvPr id="12317" name="Picture 29"/>
        <xdr:cNvPicPr>
          <a:picLocks noChangeAspect="1" noChangeArrowheads="1"/>
        </xdr:cNvPicPr>
      </xdr:nvPicPr>
      <xdr:blipFill>
        <a:blip r:embed="rId17" cstate="print"/>
        <a:srcRect/>
        <a:stretch>
          <a:fillRect/>
        </a:stretch>
      </xdr:blipFill>
      <xdr:spPr>
        <a:xfrm>
          <a:off x="371475" y="9251315"/>
          <a:ext cx="1457325" cy="426720"/>
        </a:xfrm>
        <a:prstGeom prst="rect">
          <a:avLst/>
        </a:prstGeom>
        <a:noFill/>
        <a:ln w="1">
          <a:noFill/>
          <a:miter lim="800000"/>
          <a:headEnd/>
          <a:tailEnd type="none" w="med" len="med"/>
        </a:ln>
        <a:effectLst/>
      </xdr:spPr>
    </xdr:pic>
    <xdr:clientData/>
  </xdr:twoCellAnchor>
  <xdr:twoCellAnchor editAs="oneCell">
    <xdr:from>
      <xdr:col>8</xdr:col>
      <xdr:colOff>542925</xdr:colOff>
      <xdr:row>0</xdr:row>
      <xdr:rowOff>0</xdr:rowOff>
    </xdr:from>
    <xdr:to>
      <xdr:col>16</xdr:col>
      <xdr:colOff>171450</xdr:colOff>
      <xdr:row>6</xdr:row>
      <xdr:rowOff>152400</xdr:rowOff>
    </xdr:to>
    <xdr:pic>
      <xdr:nvPicPr>
        <xdr:cNvPr id="12318" name="Picture 30"/>
        <xdr:cNvPicPr>
          <a:picLocks noChangeAspect="1" noChangeArrowheads="1"/>
        </xdr:cNvPicPr>
      </xdr:nvPicPr>
      <xdr:blipFill>
        <a:blip r:embed="rId18" cstate="print"/>
        <a:srcRect/>
        <a:stretch>
          <a:fillRect/>
        </a:stretch>
      </xdr:blipFill>
      <xdr:spPr>
        <a:xfrm>
          <a:off x="9267825" y="0"/>
          <a:ext cx="6105525" cy="1707515"/>
        </a:xfrm>
        <a:prstGeom prst="rect">
          <a:avLst/>
        </a:prstGeom>
        <a:noFill/>
        <a:ln w="1">
          <a:noFill/>
          <a:miter lim="800000"/>
          <a:headEnd/>
          <a:tailEnd type="none" w="med" len="med"/>
        </a:ln>
        <a:effectLst/>
      </xdr:spPr>
    </xdr:pic>
    <xdr:clientData/>
  </xdr:twoCellAnchor>
  <xdr:twoCellAnchor editAs="oneCell">
    <xdr:from>
      <xdr:col>3</xdr:col>
      <xdr:colOff>9526</xdr:colOff>
      <xdr:row>6</xdr:row>
      <xdr:rowOff>66675</xdr:rowOff>
    </xdr:from>
    <xdr:to>
      <xdr:col>4</xdr:col>
      <xdr:colOff>1</xdr:colOff>
      <xdr:row>8</xdr:row>
      <xdr:rowOff>236048</xdr:rowOff>
    </xdr:to>
    <xdr:pic>
      <xdr:nvPicPr>
        <xdr:cNvPr id="12319" name="Picture 31"/>
        <xdr:cNvPicPr>
          <a:picLocks noChangeAspect="1" noChangeArrowheads="1"/>
        </xdr:cNvPicPr>
      </xdr:nvPicPr>
      <xdr:blipFill>
        <a:blip r:embed="rId19" cstate="print"/>
        <a:srcRect/>
        <a:stretch>
          <a:fillRect/>
        </a:stretch>
      </xdr:blipFill>
      <xdr:spPr>
        <a:xfrm>
          <a:off x="4362450" y="1621790"/>
          <a:ext cx="1333500" cy="679450"/>
        </a:xfrm>
        <a:prstGeom prst="rect">
          <a:avLst/>
        </a:prstGeom>
        <a:noFill/>
        <a:ln w="1">
          <a:noFill/>
          <a:miter lim="800000"/>
          <a:headEnd/>
          <a:tailEnd type="none" w="med" len="med"/>
        </a:ln>
        <a:effectLst/>
      </xdr:spPr>
    </xdr:pic>
    <xdr:clientData/>
  </xdr:twoCellAnchor>
  <xdr:twoCellAnchor editAs="oneCell">
    <xdr:from>
      <xdr:col>15</xdr:col>
      <xdr:colOff>266700</xdr:colOff>
      <xdr:row>20</xdr:row>
      <xdr:rowOff>200025</xdr:rowOff>
    </xdr:from>
    <xdr:to>
      <xdr:col>19</xdr:col>
      <xdr:colOff>447675</xdr:colOff>
      <xdr:row>28</xdr:row>
      <xdr:rowOff>66675</xdr:rowOff>
    </xdr:to>
    <xdr:pic>
      <xdr:nvPicPr>
        <xdr:cNvPr id="12290" name="Picture 2"/>
        <xdr:cNvPicPr>
          <a:picLocks noChangeAspect="1" noChangeArrowheads="1"/>
        </xdr:cNvPicPr>
      </xdr:nvPicPr>
      <xdr:blipFill>
        <a:blip r:embed="rId20" cstate="print"/>
        <a:srcRect/>
        <a:stretch>
          <a:fillRect/>
        </a:stretch>
      </xdr:blipFill>
      <xdr:spPr>
        <a:xfrm>
          <a:off x="14658975" y="5328920"/>
          <a:ext cx="3419475" cy="1908810"/>
        </a:xfrm>
        <a:prstGeom prst="rect">
          <a:avLst/>
        </a:prstGeom>
        <a:noFill/>
        <a:ln w="1">
          <a:noFill/>
          <a:miter lim="800000"/>
          <a:headEnd/>
          <a:tailEnd type="none" w="med" len="med"/>
        </a:ln>
        <a:effectLst/>
      </xdr:spPr>
    </xdr:pic>
    <xdr:clientData/>
  </xdr:twoCellAnchor>
  <xdr:twoCellAnchor editAs="oneCell">
    <xdr:from>
      <xdr:col>15</xdr:col>
      <xdr:colOff>276225</xdr:colOff>
      <xdr:row>28</xdr:row>
      <xdr:rowOff>76200</xdr:rowOff>
    </xdr:from>
    <xdr:to>
      <xdr:col>21</xdr:col>
      <xdr:colOff>352425</xdr:colOff>
      <xdr:row>34</xdr:row>
      <xdr:rowOff>114300</xdr:rowOff>
    </xdr:to>
    <xdr:pic>
      <xdr:nvPicPr>
        <xdr:cNvPr id="12291" name="Picture 3"/>
        <xdr:cNvPicPr>
          <a:picLocks noChangeAspect="1" noChangeArrowheads="1"/>
        </xdr:cNvPicPr>
      </xdr:nvPicPr>
      <xdr:blipFill>
        <a:blip r:embed="rId21" cstate="print"/>
        <a:srcRect/>
        <a:stretch>
          <a:fillRect/>
        </a:stretch>
      </xdr:blipFill>
      <xdr:spPr>
        <a:xfrm>
          <a:off x="14668500" y="7247255"/>
          <a:ext cx="4781550" cy="1569720"/>
        </a:xfrm>
        <a:prstGeom prst="rect">
          <a:avLst/>
        </a:prstGeom>
        <a:noFill/>
        <a:ln w="1">
          <a:noFill/>
          <a:miter lim="800000"/>
          <a:headEnd/>
          <a:tailEnd type="none" w="med" len="med"/>
        </a:ln>
        <a:effectLst/>
      </xdr:spPr>
    </xdr:pic>
    <xdr:clientData/>
  </xdr:twoCellAnchor>
  <xdr:twoCellAnchor editAs="oneCell">
    <xdr:from>
      <xdr:col>0</xdr:col>
      <xdr:colOff>0</xdr:colOff>
      <xdr:row>66</xdr:row>
      <xdr:rowOff>0</xdr:rowOff>
    </xdr:from>
    <xdr:to>
      <xdr:col>3</xdr:col>
      <xdr:colOff>142875</xdr:colOff>
      <xdr:row>87</xdr:row>
      <xdr:rowOff>171450</xdr:rowOff>
    </xdr:to>
    <xdr:pic>
      <xdr:nvPicPr>
        <xdr:cNvPr id="24" name="Picture 1"/>
        <xdr:cNvPicPr>
          <a:picLocks noChangeAspect="1" noChangeArrowheads="1"/>
        </xdr:cNvPicPr>
      </xdr:nvPicPr>
      <xdr:blipFill>
        <a:blip r:embed="rId22" cstate="print"/>
        <a:srcRect/>
        <a:stretch>
          <a:fillRect/>
        </a:stretch>
      </xdr:blipFill>
      <xdr:spPr>
        <a:xfrm>
          <a:off x="0" y="16871315"/>
          <a:ext cx="4495800" cy="5532120"/>
        </a:xfrm>
        <a:prstGeom prst="rect">
          <a:avLst/>
        </a:prstGeom>
        <a:noFill/>
        <a:ln w="1">
          <a:noFill/>
          <a:miter lim="800000"/>
          <a:headEnd/>
          <a:tailEnd type="none" w="med" len="med"/>
        </a:ln>
        <a:effectLst/>
      </xdr:spPr>
    </xdr:pic>
    <xdr:clientData/>
  </xdr:twoCellAnchor>
  <xdr:twoCellAnchor editAs="oneCell">
    <xdr:from>
      <xdr:col>5</xdr:col>
      <xdr:colOff>0</xdr:colOff>
      <xdr:row>60</xdr:row>
      <xdr:rowOff>0</xdr:rowOff>
    </xdr:from>
    <xdr:to>
      <xdr:col>16</xdr:col>
      <xdr:colOff>695325</xdr:colOff>
      <xdr:row>65</xdr:row>
      <xdr:rowOff>66675</xdr:rowOff>
    </xdr:to>
    <xdr:pic>
      <xdr:nvPicPr>
        <xdr:cNvPr id="12292" name="Picture 4"/>
        <xdr:cNvPicPr>
          <a:picLocks noChangeAspect="1" noChangeArrowheads="1"/>
        </xdr:cNvPicPr>
      </xdr:nvPicPr>
      <xdr:blipFill>
        <a:blip r:embed="rId23" cstate="print"/>
        <a:srcRect/>
        <a:stretch>
          <a:fillRect/>
        </a:stretch>
      </xdr:blipFill>
      <xdr:spPr>
        <a:xfrm>
          <a:off x="6296025" y="15339695"/>
          <a:ext cx="9601200" cy="134302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26" name="五边形 25">
          <a:hlinkClick xmlns:r="http://schemas.openxmlformats.org/officeDocument/2006/relationships" r:id="rId24"/>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xdr:from>
      <xdr:col>6</xdr:col>
      <xdr:colOff>638175</xdr:colOff>
      <xdr:row>1</xdr:row>
      <xdr:rowOff>133350</xdr:rowOff>
    </xdr:from>
    <xdr:to>
      <xdr:col>8</xdr:col>
      <xdr:colOff>190500</xdr:colOff>
      <xdr:row>3</xdr:row>
      <xdr:rowOff>133350</xdr:rowOff>
    </xdr:to>
    <xdr:sp>
      <xdr:nvSpPr>
        <xdr:cNvPr id="25" name="圆角矩形 24"/>
        <xdr:cNvSpPr/>
      </xdr:nvSpPr>
      <xdr:spPr>
        <a:xfrm rot="-900000">
          <a:off x="7667625" y="412115"/>
          <a:ext cx="1171575" cy="51054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b="0"/>
        </a:p>
      </xdr:txBody>
    </xdr:sp>
    <xdr:clientData/>
  </xdr:twoCellAnchor>
  <xdr:twoCellAnchor>
    <xdr:from>
      <xdr:col>6</xdr:col>
      <xdr:colOff>371476</xdr:colOff>
      <xdr:row>2</xdr:row>
      <xdr:rowOff>200025</xdr:rowOff>
    </xdr:from>
    <xdr:to>
      <xdr:col>7</xdr:col>
      <xdr:colOff>381001</xdr:colOff>
      <xdr:row>3</xdr:row>
      <xdr:rowOff>85725</xdr:rowOff>
    </xdr:to>
    <xdr:sp>
      <xdr:nvSpPr>
        <xdr:cNvPr id="27" name="矩形 26"/>
        <xdr:cNvSpPr/>
      </xdr:nvSpPr>
      <xdr:spPr>
        <a:xfrm rot="-900000">
          <a:off x="7400925" y="734060"/>
          <a:ext cx="819150" cy="14097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rtlCol="0" anchor="ctr"/>
        <a:lstStyle/>
        <a:p>
          <a:pPr algn="ctr"/>
          <a:endParaRPr lang="zh-CN" altLang="en-US" sz="1100"/>
        </a:p>
      </xdr:txBody>
    </xdr:sp>
    <xdr:clientData/>
  </xdr:twoCellAnchor>
  <xdr:twoCellAnchor>
    <xdr:from>
      <xdr:col>5</xdr:col>
      <xdr:colOff>714375</xdr:colOff>
      <xdr:row>2</xdr:row>
      <xdr:rowOff>133350</xdr:rowOff>
    </xdr:from>
    <xdr:to>
      <xdr:col>6</xdr:col>
      <xdr:colOff>390525</xdr:colOff>
      <xdr:row>4</xdr:row>
      <xdr:rowOff>200025</xdr:rowOff>
    </xdr:to>
    <xdr:sp>
      <xdr:nvSpPr>
        <xdr:cNvPr id="28" name="矩形 27"/>
        <xdr:cNvSpPr/>
      </xdr:nvSpPr>
      <xdr:spPr>
        <a:xfrm rot="-900000">
          <a:off x="6934200" y="667385"/>
          <a:ext cx="485775" cy="57721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rtlCol="0" anchor="ctr"/>
        <a:lstStyle/>
        <a:p>
          <a:pPr algn="ctr"/>
          <a:endParaRPr lang="zh-CN" altLang="en-US" sz="1100"/>
        </a:p>
      </xdr:txBody>
    </xdr:sp>
    <xdr:clientData/>
  </xdr:twoCellAnchor>
  <xdr:oneCellAnchor>
    <xdr:from>
      <xdr:col>7</xdr:col>
      <xdr:colOff>247650</xdr:colOff>
      <xdr:row>1</xdr:row>
      <xdr:rowOff>95248</xdr:rowOff>
    </xdr:from>
    <xdr:ext cx="857250" cy="390527"/>
    <xdr:sp>
      <xdr:nvSpPr>
        <xdr:cNvPr id="30" name="矩形 29"/>
        <xdr:cNvSpPr/>
      </xdr:nvSpPr>
      <xdr:spPr>
        <a:xfrm rot="-900000">
          <a:off x="8086725" y="373380"/>
          <a:ext cx="857250" cy="391160"/>
        </a:xfrm>
        <a:prstGeom prst="rect">
          <a:avLst/>
        </a:prstGeom>
        <a:noFill/>
      </xdr:spPr>
      <xdr:txBody>
        <a:bodyPr wrap="square" lIns="91440" tIns="45720" rIns="91440" bIns="45720">
          <a:no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气缸</a:t>
          </a:r>
          <a:endParaRPr lang="zh-CN" altLang="en-US"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clientData/>
  </xdr:oneCellAnchor>
  <xdr:oneCellAnchor>
    <xdr:from>
      <xdr:col>5</xdr:col>
      <xdr:colOff>419100</xdr:colOff>
      <xdr:row>2</xdr:row>
      <xdr:rowOff>209550</xdr:rowOff>
    </xdr:from>
    <xdr:ext cx="1085850" cy="685801"/>
    <xdr:sp>
      <xdr:nvSpPr>
        <xdr:cNvPr id="31" name="矩形 30"/>
        <xdr:cNvSpPr/>
      </xdr:nvSpPr>
      <xdr:spPr>
        <a:xfrm rot="-900000">
          <a:off x="6638925" y="743585"/>
          <a:ext cx="1085850" cy="685800"/>
        </a:xfrm>
        <a:prstGeom prst="rect">
          <a:avLst/>
        </a:prstGeom>
        <a:noFill/>
      </xdr:spPr>
      <xdr:txBody>
        <a:bodyPr wrap="square" lIns="91440" tIns="45720" rIns="91440" bIns="45720">
          <a:no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负载</a:t>
          </a:r>
          <a:endParaRPr lang="en-US" altLang="zh-CN"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a:p>
          <a:pPr algn="ctr"/>
          <a:endParaRPr lang="en-US" altLang="zh-CN"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clientData/>
  </xdr:oneCellAnchor>
  <xdr:twoCellAnchor>
    <xdr:from>
      <xdr:col>7</xdr:col>
      <xdr:colOff>285750</xdr:colOff>
      <xdr:row>1</xdr:row>
      <xdr:rowOff>152400</xdr:rowOff>
    </xdr:from>
    <xdr:to>
      <xdr:col>7</xdr:col>
      <xdr:colOff>428625</xdr:colOff>
      <xdr:row>3</xdr:row>
      <xdr:rowOff>152400</xdr:rowOff>
    </xdr:to>
    <xdr:sp>
      <xdr:nvSpPr>
        <xdr:cNvPr id="26" name="矩形 25"/>
        <xdr:cNvSpPr/>
      </xdr:nvSpPr>
      <xdr:spPr>
        <a:xfrm rot="-900000">
          <a:off x="8124825" y="431165"/>
          <a:ext cx="142875" cy="51054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rtlCol="0" anchor="ctr"/>
        <a:lstStyle/>
        <a:p>
          <a:pPr algn="ctr"/>
          <a:endParaRPr lang="zh-CN" altLang="en-US" sz="1100"/>
        </a:p>
      </xdr:txBody>
    </xdr:sp>
    <xdr:clientData/>
  </xdr:twoCellAnchor>
  <xdr:twoCellAnchor>
    <xdr:from>
      <xdr:col>5</xdr:col>
      <xdr:colOff>261178</xdr:colOff>
      <xdr:row>5</xdr:row>
      <xdr:rowOff>1820</xdr:rowOff>
    </xdr:from>
    <xdr:to>
      <xdr:col>6</xdr:col>
      <xdr:colOff>729873</xdr:colOff>
      <xdr:row>5</xdr:row>
      <xdr:rowOff>100493</xdr:rowOff>
    </xdr:to>
    <xdr:sp>
      <xdr:nvSpPr>
        <xdr:cNvPr id="29" name="矩形 28"/>
        <xdr:cNvSpPr/>
      </xdr:nvSpPr>
      <xdr:spPr>
        <a:xfrm rot="-900000">
          <a:off x="6480810" y="1301115"/>
          <a:ext cx="1278255" cy="990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rtlCol="0" anchor="ctr"/>
        <a:lstStyle/>
        <a:p>
          <a:pPr algn="ctr"/>
          <a:endParaRPr lang="zh-CN" altLang="en-US" sz="1100"/>
        </a:p>
      </xdr:txBody>
    </xdr:sp>
    <xdr:clientData/>
  </xdr:twoCellAnchor>
  <xdr:oneCellAnchor>
    <xdr:from>
      <xdr:col>5</xdr:col>
      <xdr:colOff>485775</xdr:colOff>
      <xdr:row>4</xdr:row>
      <xdr:rowOff>133350</xdr:rowOff>
    </xdr:from>
    <xdr:ext cx="1085850" cy="276225"/>
    <xdr:sp>
      <xdr:nvSpPr>
        <xdr:cNvPr id="41" name="矩形 40"/>
        <xdr:cNvSpPr/>
      </xdr:nvSpPr>
      <xdr:spPr>
        <a:xfrm rot="-900000">
          <a:off x="6705600" y="1177925"/>
          <a:ext cx="1085850" cy="276225"/>
        </a:xfrm>
        <a:prstGeom prst="rect">
          <a:avLst/>
        </a:prstGeom>
        <a:noFill/>
      </xdr:spPr>
      <xdr:txBody>
        <a:bodyPr wrap="square" lIns="91440" tIns="45720" rIns="91440" bIns="45720">
          <a:no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2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导      轨</a:t>
          </a:r>
          <a:endParaRPr lang="en-US" altLang="zh-CN" sz="12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clientData/>
  </xdr:oneCellAnchor>
  <xdr:twoCellAnchor editAs="oneCell">
    <xdr:from>
      <xdr:col>13</xdr:col>
      <xdr:colOff>323850</xdr:colOff>
      <xdr:row>2</xdr:row>
      <xdr:rowOff>66675</xdr:rowOff>
    </xdr:from>
    <xdr:to>
      <xdr:col>21</xdr:col>
      <xdr:colOff>419100</xdr:colOff>
      <xdr:row>7</xdr:row>
      <xdr:rowOff>123825</xdr:rowOff>
    </xdr:to>
    <xdr:pic>
      <xdr:nvPicPr>
        <xdr:cNvPr id="12291" name="Picture 3"/>
        <xdr:cNvPicPr>
          <a:picLocks noChangeAspect="1" noChangeArrowheads="1"/>
        </xdr:cNvPicPr>
      </xdr:nvPicPr>
      <xdr:blipFill>
        <a:blip r:embed="rId1" cstate="print"/>
        <a:srcRect/>
        <a:stretch>
          <a:fillRect/>
        </a:stretch>
      </xdr:blipFill>
      <xdr:spPr>
        <a:xfrm>
          <a:off x="13020675" y="600710"/>
          <a:ext cx="6115050" cy="1333500"/>
        </a:xfrm>
        <a:prstGeom prst="rect">
          <a:avLst/>
        </a:prstGeom>
        <a:noFill/>
        <a:ln w="1">
          <a:noFill/>
          <a:miter lim="800000"/>
          <a:headEnd/>
          <a:tailEnd type="none" w="med" len="med"/>
        </a:ln>
        <a:effectLst/>
      </xdr:spPr>
    </xdr:pic>
    <xdr:clientData/>
  </xdr:twoCellAnchor>
  <xdr:twoCellAnchor editAs="oneCell">
    <xdr:from>
      <xdr:col>5</xdr:col>
      <xdr:colOff>19051</xdr:colOff>
      <xdr:row>12</xdr:row>
      <xdr:rowOff>9525</xdr:rowOff>
    </xdr:from>
    <xdr:to>
      <xdr:col>12</xdr:col>
      <xdr:colOff>790576</xdr:colOff>
      <xdr:row>29</xdr:row>
      <xdr:rowOff>19050</xdr:rowOff>
    </xdr:to>
    <xdr:pic>
      <xdr:nvPicPr>
        <xdr:cNvPr id="12294" name="Picture 6"/>
        <xdr:cNvPicPr>
          <a:picLocks noChangeAspect="1" noChangeArrowheads="1"/>
        </xdr:cNvPicPr>
      </xdr:nvPicPr>
      <xdr:blipFill>
        <a:blip r:embed="rId2" cstate="print"/>
        <a:srcRect/>
        <a:stretch>
          <a:fillRect/>
        </a:stretch>
      </xdr:blipFill>
      <xdr:spPr>
        <a:xfrm>
          <a:off x="6238875" y="3096260"/>
          <a:ext cx="6438900" cy="4349115"/>
        </a:xfrm>
        <a:prstGeom prst="rect">
          <a:avLst/>
        </a:prstGeom>
        <a:noFill/>
        <a:ln w="1">
          <a:noFill/>
          <a:miter lim="800000"/>
          <a:headEnd/>
          <a:tailEnd type="none" w="med" len="med"/>
        </a:ln>
        <a:effectLst/>
      </xdr:spPr>
    </xdr:pic>
    <xdr:clientData/>
  </xdr:twoCellAnchor>
  <xdr:twoCellAnchor editAs="oneCell">
    <xdr:from>
      <xdr:col>5</xdr:col>
      <xdr:colOff>9525</xdr:colOff>
      <xdr:row>46</xdr:row>
      <xdr:rowOff>9526</xdr:rowOff>
    </xdr:from>
    <xdr:to>
      <xdr:col>11</xdr:col>
      <xdr:colOff>771525</xdr:colOff>
      <xdr:row>65</xdr:row>
      <xdr:rowOff>47626</xdr:rowOff>
    </xdr:to>
    <xdr:pic>
      <xdr:nvPicPr>
        <xdr:cNvPr id="12301" name="Picture 13"/>
        <xdr:cNvPicPr>
          <a:picLocks noChangeAspect="1" noChangeArrowheads="1"/>
        </xdr:cNvPicPr>
      </xdr:nvPicPr>
      <xdr:blipFill>
        <a:blip r:embed="rId3" cstate="print"/>
        <a:srcRect/>
        <a:stretch>
          <a:fillRect/>
        </a:stretch>
      </xdr:blipFill>
      <xdr:spPr>
        <a:xfrm>
          <a:off x="6229350" y="11775440"/>
          <a:ext cx="5619750" cy="4888230"/>
        </a:xfrm>
        <a:prstGeom prst="rect">
          <a:avLst/>
        </a:prstGeom>
        <a:noFill/>
        <a:ln w="1">
          <a:noFill/>
          <a:miter lim="800000"/>
          <a:headEnd/>
          <a:tailEnd type="none" w="med" len="med"/>
        </a:ln>
        <a:effectLst/>
      </xdr:spPr>
    </xdr:pic>
    <xdr:clientData/>
  </xdr:twoCellAnchor>
  <xdr:twoCellAnchor editAs="oneCell">
    <xdr:from>
      <xdr:col>5</xdr:col>
      <xdr:colOff>9525</xdr:colOff>
      <xdr:row>67</xdr:row>
      <xdr:rowOff>9525</xdr:rowOff>
    </xdr:from>
    <xdr:to>
      <xdr:col>12</xdr:col>
      <xdr:colOff>781050</xdr:colOff>
      <xdr:row>75</xdr:row>
      <xdr:rowOff>241643</xdr:rowOff>
    </xdr:to>
    <xdr:pic>
      <xdr:nvPicPr>
        <xdr:cNvPr id="12303" name="Picture 15"/>
        <xdr:cNvPicPr>
          <a:picLocks noChangeAspect="1" noChangeArrowheads="1"/>
        </xdr:cNvPicPr>
      </xdr:nvPicPr>
      <xdr:blipFill>
        <a:blip r:embed="rId4" cstate="print"/>
        <a:srcRect/>
        <a:stretch>
          <a:fillRect/>
        </a:stretch>
      </xdr:blipFill>
      <xdr:spPr>
        <a:xfrm>
          <a:off x="6229350" y="17136110"/>
          <a:ext cx="6438900" cy="2273935"/>
        </a:xfrm>
        <a:prstGeom prst="rect">
          <a:avLst/>
        </a:prstGeom>
        <a:noFill/>
        <a:ln w="1">
          <a:noFill/>
          <a:miter lim="800000"/>
          <a:headEnd/>
          <a:tailEnd type="none" w="med" len="med"/>
        </a:ln>
        <a:effectLst/>
      </xdr:spPr>
    </xdr:pic>
    <xdr:clientData/>
  </xdr:twoCellAnchor>
  <xdr:twoCellAnchor editAs="oneCell">
    <xdr:from>
      <xdr:col>5</xdr:col>
      <xdr:colOff>9525</xdr:colOff>
      <xdr:row>78</xdr:row>
      <xdr:rowOff>9525</xdr:rowOff>
    </xdr:from>
    <xdr:to>
      <xdr:col>12</xdr:col>
      <xdr:colOff>761999</xdr:colOff>
      <xdr:row>101</xdr:row>
      <xdr:rowOff>209550</xdr:rowOff>
    </xdr:to>
    <xdr:pic>
      <xdr:nvPicPr>
        <xdr:cNvPr id="12304" name="Picture 16"/>
        <xdr:cNvPicPr>
          <a:picLocks noChangeAspect="1" noChangeArrowheads="1"/>
        </xdr:cNvPicPr>
      </xdr:nvPicPr>
      <xdr:blipFill>
        <a:blip r:embed="rId5" cstate="print"/>
        <a:srcRect/>
        <a:stretch>
          <a:fillRect/>
        </a:stretch>
      </xdr:blipFill>
      <xdr:spPr>
        <a:xfrm>
          <a:off x="6229350" y="19944080"/>
          <a:ext cx="6419215" cy="6071235"/>
        </a:xfrm>
        <a:prstGeom prst="rect">
          <a:avLst/>
        </a:prstGeom>
        <a:noFill/>
        <a:ln w="1">
          <a:noFill/>
          <a:miter lim="800000"/>
          <a:headEnd/>
          <a:tailEnd type="none" w="med" len="med"/>
        </a:ln>
        <a:effectLst/>
      </xdr:spPr>
    </xdr:pic>
    <xdr:clientData/>
  </xdr:twoCellAnchor>
  <xdr:twoCellAnchor editAs="oneCell">
    <xdr:from>
      <xdr:col>5</xdr:col>
      <xdr:colOff>9525</xdr:colOff>
      <xdr:row>104</xdr:row>
      <xdr:rowOff>0</xdr:rowOff>
    </xdr:from>
    <xdr:to>
      <xdr:col>12</xdr:col>
      <xdr:colOff>95250</xdr:colOff>
      <xdr:row>119</xdr:row>
      <xdr:rowOff>238125</xdr:rowOff>
    </xdr:to>
    <xdr:pic>
      <xdr:nvPicPr>
        <xdr:cNvPr id="12305" name="Picture 17"/>
        <xdr:cNvPicPr>
          <a:picLocks noChangeAspect="1" noChangeArrowheads="1"/>
        </xdr:cNvPicPr>
      </xdr:nvPicPr>
      <xdr:blipFill>
        <a:blip r:embed="rId6" cstate="print"/>
        <a:srcRect/>
        <a:stretch>
          <a:fillRect/>
        </a:stretch>
      </xdr:blipFill>
      <xdr:spPr>
        <a:xfrm>
          <a:off x="6229350" y="26571575"/>
          <a:ext cx="5753100" cy="4067175"/>
        </a:xfrm>
        <a:prstGeom prst="rect">
          <a:avLst/>
        </a:prstGeom>
        <a:noFill/>
        <a:ln w="1">
          <a:noFill/>
          <a:miter lim="800000"/>
          <a:headEnd/>
          <a:tailEnd type="none" w="med" len="med"/>
        </a:ln>
        <a:effectLst/>
      </xdr:spPr>
    </xdr:pic>
    <xdr:clientData/>
  </xdr:twoCellAnchor>
  <xdr:twoCellAnchor editAs="oneCell">
    <xdr:from>
      <xdr:col>11</xdr:col>
      <xdr:colOff>609600</xdr:colOff>
      <xdr:row>46</xdr:row>
      <xdr:rowOff>76200</xdr:rowOff>
    </xdr:from>
    <xdr:to>
      <xdr:col>13</xdr:col>
      <xdr:colOff>9525</xdr:colOff>
      <xdr:row>64</xdr:row>
      <xdr:rowOff>95250</xdr:rowOff>
    </xdr:to>
    <xdr:pic>
      <xdr:nvPicPr>
        <xdr:cNvPr id="12306" name="Picture 18"/>
        <xdr:cNvPicPr>
          <a:picLocks noChangeAspect="1" noChangeArrowheads="1"/>
        </xdr:cNvPicPr>
      </xdr:nvPicPr>
      <xdr:blipFill>
        <a:blip r:embed="rId7" cstate="print"/>
        <a:srcRect/>
        <a:stretch>
          <a:fillRect/>
        </a:stretch>
      </xdr:blipFill>
      <xdr:spPr>
        <a:xfrm>
          <a:off x="11687175" y="11842115"/>
          <a:ext cx="1019175" cy="4613910"/>
        </a:xfrm>
        <a:prstGeom prst="rect">
          <a:avLst/>
        </a:prstGeom>
        <a:noFill/>
        <a:ln w="1">
          <a:noFill/>
          <a:miter lim="800000"/>
          <a:headEnd/>
          <a:tailEnd type="none" w="med" len="med"/>
        </a:ln>
        <a:effectLst/>
      </xdr:spPr>
    </xdr:pic>
    <xdr:clientData/>
  </xdr:twoCellAnchor>
  <xdr:twoCellAnchor editAs="oneCell">
    <xdr:from>
      <xdr:col>5</xdr:col>
      <xdr:colOff>0</xdr:colOff>
      <xdr:row>31</xdr:row>
      <xdr:rowOff>0</xdr:rowOff>
    </xdr:from>
    <xdr:to>
      <xdr:col>12</xdr:col>
      <xdr:colOff>781050</xdr:colOff>
      <xdr:row>44</xdr:row>
      <xdr:rowOff>28575</xdr:rowOff>
    </xdr:to>
    <xdr:pic>
      <xdr:nvPicPr>
        <xdr:cNvPr id="12307" name="Picture 19"/>
        <xdr:cNvPicPr>
          <a:picLocks noChangeAspect="1" noChangeArrowheads="1"/>
        </xdr:cNvPicPr>
      </xdr:nvPicPr>
      <xdr:blipFill>
        <a:blip r:embed="rId8" cstate="print"/>
        <a:srcRect/>
        <a:stretch>
          <a:fillRect/>
        </a:stretch>
      </xdr:blipFill>
      <xdr:spPr>
        <a:xfrm>
          <a:off x="6219825" y="7936865"/>
          <a:ext cx="6448425" cy="3347085"/>
        </a:xfrm>
        <a:prstGeom prst="rect">
          <a:avLst/>
        </a:prstGeom>
        <a:noFill/>
        <a:ln w="1">
          <a:noFill/>
          <a:miter lim="800000"/>
          <a:headEnd/>
          <a:tailEnd type="none" w="med" len="med"/>
        </a:ln>
        <a:effectLst/>
      </xdr:spPr>
    </xdr:pic>
    <xdr:clientData/>
  </xdr:twoCellAnchor>
  <xdr:twoCellAnchor editAs="oneCell">
    <xdr:from>
      <xdr:col>20</xdr:col>
      <xdr:colOff>523875</xdr:colOff>
      <xdr:row>42</xdr:row>
      <xdr:rowOff>228600</xdr:rowOff>
    </xdr:from>
    <xdr:to>
      <xdr:col>23</xdr:col>
      <xdr:colOff>342900</xdr:colOff>
      <xdr:row>47</xdr:row>
      <xdr:rowOff>161925</xdr:rowOff>
    </xdr:to>
    <xdr:pic>
      <xdr:nvPicPr>
        <xdr:cNvPr id="12308" name="Picture 20"/>
        <xdr:cNvPicPr>
          <a:picLocks noChangeAspect="1" noChangeArrowheads="1"/>
        </xdr:cNvPicPr>
      </xdr:nvPicPr>
      <xdr:blipFill>
        <a:blip r:embed="rId9" cstate="print"/>
        <a:srcRect/>
        <a:stretch>
          <a:fillRect/>
        </a:stretch>
      </xdr:blipFill>
      <xdr:spPr>
        <a:xfrm>
          <a:off x="18583275" y="10973435"/>
          <a:ext cx="1790700" cy="1209675"/>
        </a:xfrm>
        <a:prstGeom prst="rect">
          <a:avLst/>
        </a:prstGeom>
        <a:noFill/>
        <a:ln w="1">
          <a:noFill/>
          <a:miter lim="800000"/>
          <a:headEnd/>
          <a:tailEnd type="none" w="med" len="med"/>
        </a:ln>
        <a:effectLst/>
      </xdr:spPr>
    </xdr:pic>
    <xdr:clientData/>
  </xdr:twoCellAnchor>
  <xdr:twoCellAnchor editAs="oneCell">
    <xdr:from>
      <xdr:col>13</xdr:col>
      <xdr:colOff>323850</xdr:colOff>
      <xdr:row>43</xdr:row>
      <xdr:rowOff>0</xdr:rowOff>
    </xdr:from>
    <xdr:to>
      <xdr:col>20</xdr:col>
      <xdr:colOff>504825</xdr:colOff>
      <xdr:row>59</xdr:row>
      <xdr:rowOff>85725</xdr:rowOff>
    </xdr:to>
    <xdr:pic>
      <xdr:nvPicPr>
        <xdr:cNvPr id="12309" name="Picture 21"/>
        <xdr:cNvPicPr>
          <a:picLocks noChangeAspect="1" noChangeArrowheads="1"/>
        </xdr:cNvPicPr>
      </xdr:nvPicPr>
      <xdr:blipFill>
        <a:blip r:embed="rId10" cstate="print"/>
        <a:srcRect/>
        <a:stretch>
          <a:fillRect/>
        </a:stretch>
      </xdr:blipFill>
      <xdr:spPr>
        <a:xfrm>
          <a:off x="13020675" y="11000105"/>
          <a:ext cx="5543550" cy="4170045"/>
        </a:xfrm>
        <a:prstGeom prst="rect">
          <a:avLst/>
        </a:prstGeom>
        <a:noFill/>
        <a:ln w="1">
          <a:noFill/>
          <a:miter lim="800000"/>
          <a:headEnd/>
          <a:tailEnd type="none" w="med" len="med"/>
        </a:ln>
        <a:effectLst/>
      </xdr:spPr>
    </xdr:pic>
    <xdr:clientData/>
  </xdr:twoCellAnchor>
  <xdr:twoCellAnchor editAs="oneCell">
    <xdr:from>
      <xdr:col>13</xdr:col>
      <xdr:colOff>323850</xdr:colOff>
      <xdr:row>9</xdr:row>
      <xdr:rowOff>1</xdr:rowOff>
    </xdr:from>
    <xdr:to>
      <xdr:col>21</xdr:col>
      <xdr:colOff>58383</xdr:colOff>
      <xdr:row>29</xdr:row>
      <xdr:rowOff>1</xdr:rowOff>
    </xdr:to>
    <xdr:pic>
      <xdr:nvPicPr>
        <xdr:cNvPr id="12315" name="Picture 27"/>
        <xdr:cNvPicPr>
          <a:picLocks noChangeAspect="1" noChangeArrowheads="1"/>
        </xdr:cNvPicPr>
      </xdr:nvPicPr>
      <xdr:blipFill>
        <a:blip r:embed="rId11" cstate="print"/>
        <a:srcRect/>
        <a:stretch>
          <a:fillRect/>
        </a:stretch>
      </xdr:blipFill>
      <xdr:spPr>
        <a:xfrm>
          <a:off x="13020675" y="2320925"/>
          <a:ext cx="5753735" cy="5105400"/>
        </a:xfrm>
        <a:prstGeom prst="rect">
          <a:avLst/>
        </a:prstGeom>
        <a:noFill/>
        <a:ln w="1">
          <a:noFill/>
          <a:miter lim="800000"/>
          <a:headEnd/>
          <a:tailEnd type="none" w="med" len="med"/>
        </a:ln>
        <a:effectLst/>
      </xdr:spPr>
    </xdr:pic>
    <xdr:clientData/>
  </xdr:twoCellAnchor>
  <xdr:twoCellAnchor editAs="oneCell">
    <xdr:from>
      <xdr:col>13</xdr:col>
      <xdr:colOff>333375</xdr:colOff>
      <xdr:row>30</xdr:row>
      <xdr:rowOff>0</xdr:rowOff>
    </xdr:from>
    <xdr:to>
      <xdr:col>27</xdr:col>
      <xdr:colOff>152400</xdr:colOff>
      <xdr:row>42</xdr:row>
      <xdr:rowOff>47625</xdr:rowOff>
    </xdr:to>
    <xdr:pic>
      <xdr:nvPicPr>
        <xdr:cNvPr id="12316" name="Picture 28"/>
        <xdr:cNvPicPr>
          <a:picLocks noChangeAspect="1" noChangeArrowheads="1"/>
        </xdr:cNvPicPr>
      </xdr:nvPicPr>
      <xdr:blipFill>
        <a:blip r:embed="rId12" cstate="print"/>
        <a:srcRect/>
        <a:stretch>
          <a:fillRect/>
        </a:stretch>
      </xdr:blipFill>
      <xdr:spPr>
        <a:xfrm>
          <a:off x="13030200" y="7681595"/>
          <a:ext cx="10848975" cy="3110865"/>
        </a:xfrm>
        <a:prstGeom prst="rect">
          <a:avLst/>
        </a:prstGeom>
        <a:noFill/>
        <a:ln w="1">
          <a:noFill/>
          <a:miter lim="800000"/>
          <a:headEnd/>
          <a:tailEnd type="none" w="med" len="med"/>
        </a:ln>
        <a:effectLst/>
      </xdr:spPr>
    </xdr:pic>
    <xdr:clientData/>
  </xdr:twoCellAnchor>
  <xdr:twoCellAnchor editAs="oneCell">
    <xdr:from>
      <xdr:col>13</xdr:col>
      <xdr:colOff>323850</xdr:colOff>
      <xdr:row>61</xdr:row>
      <xdr:rowOff>0</xdr:rowOff>
    </xdr:from>
    <xdr:to>
      <xdr:col>22</xdr:col>
      <xdr:colOff>114300</xdr:colOff>
      <xdr:row>88</xdr:row>
      <xdr:rowOff>171450</xdr:rowOff>
    </xdr:to>
    <xdr:pic>
      <xdr:nvPicPr>
        <xdr:cNvPr id="12317" name="Picture 29"/>
        <xdr:cNvPicPr>
          <a:picLocks noChangeAspect="1" noChangeArrowheads="1"/>
        </xdr:cNvPicPr>
      </xdr:nvPicPr>
      <xdr:blipFill>
        <a:blip r:embed="rId13" cstate="print"/>
        <a:srcRect/>
        <a:stretch>
          <a:fillRect/>
        </a:stretch>
      </xdr:blipFill>
      <xdr:spPr>
        <a:xfrm>
          <a:off x="13020675" y="15594965"/>
          <a:ext cx="6467475" cy="7063740"/>
        </a:xfrm>
        <a:prstGeom prst="rect">
          <a:avLst/>
        </a:prstGeom>
        <a:noFill/>
        <a:ln w="1">
          <a:noFill/>
          <a:miter lim="800000"/>
          <a:headEnd/>
          <a:tailEnd type="none" w="med" len="med"/>
        </a:ln>
        <a:effectLst/>
      </xdr:spPr>
    </xdr:pic>
    <xdr:clientData/>
  </xdr:twoCellAnchor>
  <xdr:twoCellAnchor editAs="oneCell">
    <xdr:from>
      <xdr:col>0</xdr:col>
      <xdr:colOff>0</xdr:colOff>
      <xdr:row>37</xdr:row>
      <xdr:rowOff>9525</xdr:rowOff>
    </xdr:from>
    <xdr:to>
      <xdr:col>4</xdr:col>
      <xdr:colOff>495300</xdr:colOff>
      <xdr:row>41</xdr:row>
      <xdr:rowOff>209550</xdr:rowOff>
    </xdr:to>
    <xdr:pic>
      <xdr:nvPicPr>
        <xdr:cNvPr id="12321" name="Picture 33"/>
        <xdr:cNvPicPr>
          <a:picLocks noChangeAspect="1" noChangeArrowheads="1"/>
        </xdr:cNvPicPr>
      </xdr:nvPicPr>
      <xdr:blipFill>
        <a:blip r:embed="rId14" cstate="print"/>
        <a:srcRect/>
        <a:stretch>
          <a:fillRect/>
        </a:stretch>
      </xdr:blipFill>
      <xdr:spPr>
        <a:xfrm>
          <a:off x="0" y="9478010"/>
          <a:ext cx="6115050" cy="1221105"/>
        </a:xfrm>
        <a:prstGeom prst="rect">
          <a:avLst/>
        </a:prstGeom>
        <a:noFill/>
        <a:ln w="1">
          <a:noFill/>
          <a:miter lim="800000"/>
          <a:headEnd/>
          <a:tailEnd type="none" w="med" len="med"/>
        </a:ln>
        <a:effectLst/>
      </xdr:spPr>
    </xdr:pic>
    <xdr:clientData/>
  </xdr:twoCellAnchor>
  <xdr:twoCellAnchor>
    <xdr:from>
      <xdr:col>4</xdr:col>
      <xdr:colOff>504826</xdr:colOff>
      <xdr:row>6</xdr:row>
      <xdr:rowOff>47625</xdr:rowOff>
    </xdr:from>
    <xdr:to>
      <xdr:col>8</xdr:col>
      <xdr:colOff>514350</xdr:colOff>
      <xdr:row>6</xdr:row>
      <xdr:rowOff>93344</xdr:rowOff>
    </xdr:to>
    <xdr:sp>
      <xdr:nvSpPr>
        <xdr:cNvPr id="40" name="矩形 39"/>
        <xdr:cNvSpPr/>
      </xdr:nvSpPr>
      <xdr:spPr>
        <a:xfrm>
          <a:off x="6124575" y="1602740"/>
          <a:ext cx="3038475" cy="4508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oneCellAnchor>
    <xdr:from>
      <xdr:col>6</xdr:col>
      <xdr:colOff>700097</xdr:colOff>
      <xdr:row>4</xdr:row>
      <xdr:rowOff>82867</xdr:rowOff>
    </xdr:from>
    <xdr:ext cx="352404" cy="468013"/>
    <xdr:sp>
      <xdr:nvSpPr>
        <xdr:cNvPr id="42" name="矩形 41"/>
        <xdr:cNvSpPr/>
      </xdr:nvSpPr>
      <xdr:spPr>
        <a:xfrm>
          <a:off x="7729220" y="1127125"/>
          <a:ext cx="352425" cy="467995"/>
        </a:xfrm>
        <a:prstGeom prst="rect">
          <a:avLst/>
        </a:prstGeom>
        <a:noFill/>
      </xdr:spPr>
      <xdr:txBody>
        <a:bodyPr wrap="none" lIns="91440" tIns="45720" rIns="91440" bIns="45720">
          <a:spAutoFit/>
        </a:bodyPr>
        <a:lstStyle/>
        <a:p>
          <a:pPr algn="ctr"/>
          <a:r>
            <a:rPr lang="el-GR" altLang="zh-CN" sz="2400" b="1" cap="none" spc="0">
              <a:ln w="1905"/>
              <a:gradFill>
                <a:gsLst>
                  <a:gs pos="0">
                    <a:schemeClr val="accent6">
                      <a:shade val="20000"/>
                      <a:satMod val="200000"/>
                    </a:schemeClr>
                  </a:gs>
                  <a:gs pos="78000">
                    <a:schemeClr val="accent6">
                      <a:tint val="90000"/>
                      <a:shade val="89000"/>
                      <a:satMod val="220000"/>
                    </a:schemeClr>
                  </a:gs>
                  <a:gs pos="100000">
                    <a:schemeClr val="accent6">
                      <a:tint val="12000"/>
                      <a:satMod val="255000"/>
                    </a:schemeClr>
                  </a:gs>
                </a:gsLst>
                <a:lin ang="5400000"/>
              </a:gradFill>
              <a:effectLst>
                <a:innerShdw blurRad="69850" dist="43180" dir="5400000">
                  <a:srgbClr val="000000">
                    <a:alpha val="65000"/>
                  </a:srgbClr>
                </a:innerShdw>
              </a:effectLst>
            </a:rPr>
            <a:t>θ</a:t>
          </a:r>
          <a:endParaRPr lang="zh-CN" altLang="en-US" sz="2400" b="1" cap="none" spc="0">
            <a:ln w="1905"/>
            <a:gradFill>
              <a:gsLst>
                <a:gs pos="0">
                  <a:schemeClr val="accent6">
                    <a:shade val="20000"/>
                    <a:satMod val="200000"/>
                  </a:schemeClr>
                </a:gs>
                <a:gs pos="78000">
                  <a:schemeClr val="accent6">
                    <a:tint val="90000"/>
                    <a:shade val="89000"/>
                    <a:satMod val="220000"/>
                  </a:schemeClr>
                </a:gs>
                <a:gs pos="100000">
                  <a:schemeClr val="accent6">
                    <a:tint val="12000"/>
                    <a:satMod val="255000"/>
                  </a:schemeClr>
                </a:gs>
              </a:gsLst>
              <a:lin ang="5400000"/>
            </a:gradFill>
            <a:effectLst>
              <a:innerShdw blurRad="69850" dist="43180" dir="5400000">
                <a:srgbClr val="000000">
                  <a:alpha val="65000"/>
                </a:srgbClr>
              </a:innerShdw>
            </a:effectLst>
          </a:endParaRPr>
        </a:p>
      </xdr:txBody>
    </xdr:sp>
    <xdr:clientData/>
  </xdr:oneCellAnchor>
  <xdr:twoCellAnchor>
    <xdr:from>
      <xdr:col>6</xdr:col>
      <xdr:colOff>587397</xdr:colOff>
      <xdr:row>4</xdr:row>
      <xdr:rowOff>161085</xdr:rowOff>
    </xdr:from>
    <xdr:to>
      <xdr:col>6</xdr:col>
      <xdr:colOff>741824</xdr:colOff>
      <xdr:row>6</xdr:row>
      <xdr:rowOff>111432</xdr:rowOff>
    </xdr:to>
    <xdr:sp>
      <xdr:nvSpPr>
        <xdr:cNvPr id="55" name="环形箭头 54"/>
        <xdr:cNvSpPr/>
      </xdr:nvSpPr>
      <xdr:spPr>
        <a:xfrm rot="4500000">
          <a:off x="7463155" y="1358265"/>
          <a:ext cx="461010" cy="154940"/>
        </a:xfrm>
        <a:prstGeom prst="circular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solidFill>
              <a:schemeClr val="tx1"/>
            </a:solidFill>
          </a:endParaRPr>
        </a:p>
      </xdr:txBody>
    </xdr:sp>
    <xdr:clientData/>
  </xdr:twoCellAnchor>
  <xdr:twoCellAnchor editAs="oneCell">
    <xdr:from>
      <xdr:col>8</xdr:col>
      <xdr:colOff>514350</xdr:colOff>
      <xdr:row>0</xdr:row>
      <xdr:rowOff>0</xdr:rowOff>
    </xdr:from>
    <xdr:to>
      <xdr:col>12</xdr:col>
      <xdr:colOff>678732</xdr:colOff>
      <xdr:row>7</xdr:row>
      <xdr:rowOff>142875</xdr:rowOff>
    </xdr:to>
    <xdr:pic>
      <xdr:nvPicPr>
        <xdr:cNvPr id="13314" name="Picture 2"/>
        <xdr:cNvPicPr>
          <a:picLocks noChangeAspect="1" noChangeArrowheads="1"/>
        </xdr:cNvPicPr>
      </xdr:nvPicPr>
      <xdr:blipFill>
        <a:blip r:embed="rId15" cstate="print"/>
        <a:srcRect/>
        <a:stretch>
          <a:fillRect/>
        </a:stretch>
      </xdr:blipFill>
      <xdr:spPr>
        <a:xfrm>
          <a:off x="9163050" y="0"/>
          <a:ext cx="3402330" cy="1953260"/>
        </a:xfrm>
        <a:prstGeom prst="rect">
          <a:avLst/>
        </a:prstGeom>
        <a:noFill/>
        <a:ln w="1">
          <a:noFill/>
          <a:miter lim="800000"/>
          <a:headEnd/>
          <a:tailEnd type="none" w="med" len="med"/>
        </a:ln>
        <a:effectLst/>
      </xdr:spPr>
    </xdr:pic>
    <xdr:clientData/>
  </xdr:twoCellAnchor>
  <xdr:oneCellAnchor>
    <xdr:from>
      <xdr:col>9</xdr:col>
      <xdr:colOff>771525</xdr:colOff>
      <xdr:row>3</xdr:row>
      <xdr:rowOff>171450</xdr:rowOff>
    </xdr:from>
    <xdr:ext cx="1563313" cy="325730"/>
    <xdr:sp>
      <xdr:nvSpPr>
        <xdr:cNvPr id="59" name="TextBox 58"/>
        <xdr:cNvSpPr txBox="1"/>
      </xdr:nvSpPr>
      <xdr:spPr>
        <a:xfrm>
          <a:off x="10229850" y="960755"/>
          <a:ext cx="1562735" cy="3251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400" b="1"/>
            <a:t>面   积    </a:t>
          </a:r>
          <a:r>
            <a:rPr lang="en-US" altLang="zh-CN" sz="1400" b="1"/>
            <a:t>=    </a:t>
          </a:r>
          <a:r>
            <a:rPr lang="zh-CN" altLang="en-US" sz="1400" b="1"/>
            <a:t>位   移</a:t>
          </a:r>
          <a:endParaRPr lang="zh-CN" altLang="en-US" sz="1400" b="1"/>
        </a:p>
      </xdr:txBody>
    </xdr:sp>
    <xdr:clientData/>
  </xdr:oneCellAnchor>
  <xdr:twoCellAnchor>
    <xdr:from>
      <xdr:col>9</xdr:col>
      <xdr:colOff>542925</xdr:colOff>
      <xdr:row>5</xdr:row>
      <xdr:rowOff>9525</xdr:rowOff>
    </xdr:from>
    <xdr:to>
      <xdr:col>10</xdr:col>
      <xdr:colOff>133350</xdr:colOff>
      <xdr:row>6</xdr:row>
      <xdr:rowOff>28575</xdr:rowOff>
    </xdr:to>
    <xdr:sp>
      <xdr:nvSpPr>
        <xdr:cNvPr id="32" name="矩形 31"/>
        <xdr:cNvSpPr/>
      </xdr:nvSpPr>
      <xdr:spPr>
        <a:xfrm>
          <a:off x="10001250" y="1309370"/>
          <a:ext cx="400050" cy="274320"/>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r>
            <a:rPr lang="en-US" altLang="zh-CN" sz="1600"/>
            <a:t>t</a:t>
          </a:r>
          <a:r>
            <a:rPr lang="en-US" altLang="zh-CN" sz="1200"/>
            <a:t>0</a:t>
          </a:r>
          <a:endParaRPr lang="zh-CN" altLang="en-US" sz="1200"/>
        </a:p>
      </xdr:txBody>
    </xdr:sp>
    <xdr:clientData/>
  </xdr:twoCellAnchor>
  <xdr:twoCellAnchor>
    <xdr:from>
      <xdr:col>11</xdr:col>
      <xdr:colOff>609600</xdr:colOff>
      <xdr:row>5</xdr:row>
      <xdr:rowOff>19050</xdr:rowOff>
    </xdr:from>
    <xdr:to>
      <xdr:col>12</xdr:col>
      <xdr:colOff>47625</xdr:colOff>
      <xdr:row>5</xdr:row>
      <xdr:rowOff>219075</xdr:rowOff>
    </xdr:to>
    <xdr:sp>
      <xdr:nvSpPr>
        <xdr:cNvPr id="33" name="矩形 32"/>
        <xdr:cNvSpPr/>
      </xdr:nvSpPr>
      <xdr:spPr>
        <a:xfrm>
          <a:off x="11687175" y="1318895"/>
          <a:ext cx="247650" cy="20002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xdr:from>
      <xdr:col>12</xdr:col>
      <xdr:colOff>409575</xdr:colOff>
      <xdr:row>5</xdr:row>
      <xdr:rowOff>76200</xdr:rowOff>
    </xdr:from>
    <xdr:to>
      <xdr:col>12</xdr:col>
      <xdr:colOff>657225</xdr:colOff>
      <xdr:row>6</xdr:row>
      <xdr:rowOff>28575</xdr:rowOff>
    </xdr:to>
    <xdr:sp>
      <xdr:nvSpPr>
        <xdr:cNvPr id="34" name="矩形 33"/>
        <xdr:cNvSpPr/>
      </xdr:nvSpPr>
      <xdr:spPr>
        <a:xfrm>
          <a:off x="12296775" y="1376045"/>
          <a:ext cx="247650" cy="20764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oneCellAnchor>
    <xdr:from>
      <xdr:col>11</xdr:col>
      <xdr:colOff>514350</xdr:colOff>
      <xdr:row>5</xdr:row>
      <xdr:rowOff>0</xdr:rowOff>
    </xdr:from>
    <xdr:ext cx="390525" cy="264560"/>
    <xdr:sp>
      <xdr:nvSpPr>
        <xdr:cNvPr id="36" name="TextBox 35"/>
        <xdr:cNvSpPr txBox="1"/>
      </xdr:nvSpPr>
      <xdr:spPr>
        <a:xfrm>
          <a:off x="11591925" y="1299845"/>
          <a:ext cx="390525" cy="2641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square" rtlCol="0" anchor="t">
          <a:noAutofit/>
        </a:bodyPr>
        <a:lstStyle/>
        <a:p>
          <a:r>
            <a:rPr lang="en-US" altLang="zh-CN" sz="1600"/>
            <a:t>t</a:t>
          </a:r>
          <a:r>
            <a:rPr lang="en-US" altLang="zh-CN" sz="1200"/>
            <a:t>1</a:t>
          </a:r>
          <a:endParaRPr lang="zh-CN" altLang="en-US" sz="1200"/>
        </a:p>
      </xdr:txBody>
    </xdr:sp>
    <xdr:clientData/>
  </xdr:oneCellAnchor>
  <xdr:oneCellAnchor>
    <xdr:from>
      <xdr:col>12</xdr:col>
      <xdr:colOff>381000</xdr:colOff>
      <xdr:row>5</xdr:row>
      <xdr:rowOff>0</xdr:rowOff>
    </xdr:from>
    <xdr:ext cx="219075" cy="264560"/>
    <xdr:sp>
      <xdr:nvSpPr>
        <xdr:cNvPr id="37" name="TextBox 36"/>
        <xdr:cNvSpPr txBox="1"/>
      </xdr:nvSpPr>
      <xdr:spPr>
        <a:xfrm>
          <a:off x="12268200" y="1299845"/>
          <a:ext cx="219075" cy="2641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square" rtlCol="0" anchor="t">
          <a:noAutofit/>
        </a:bodyPr>
        <a:lstStyle/>
        <a:p>
          <a:r>
            <a:rPr lang="en-US" altLang="zh-CN" sz="1600"/>
            <a:t>t</a:t>
          </a:r>
          <a:endParaRPr lang="zh-CN" altLang="en-US" sz="1200"/>
        </a:p>
      </xdr:txBody>
    </xdr:sp>
    <xdr:clientData/>
  </xdr:oneCellAnchor>
  <xdr:twoCellAnchor>
    <xdr:from>
      <xdr:col>0</xdr:col>
      <xdr:colOff>9525</xdr:colOff>
      <xdr:row>0</xdr:row>
      <xdr:rowOff>19050</xdr:rowOff>
    </xdr:from>
    <xdr:to>
      <xdr:col>0</xdr:col>
      <xdr:colOff>819151</xdr:colOff>
      <xdr:row>0</xdr:row>
      <xdr:rowOff>257175</xdr:rowOff>
    </xdr:to>
    <xdr:sp>
      <xdr:nvSpPr>
        <xdr:cNvPr id="35" name="五边形 34">
          <a:hlinkClick xmlns:r="http://schemas.openxmlformats.org/officeDocument/2006/relationships" r:id="rId16"/>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15.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342900</xdr:colOff>
      <xdr:row>0</xdr:row>
      <xdr:rowOff>142875</xdr:rowOff>
    </xdr:from>
    <xdr:to>
      <xdr:col>8</xdr:col>
      <xdr:colOff>609600</xdr:colOff>
      <xdr:row>5</xdr:row>
      <xdr:rowOff>133350</xdr:rowOff>
    </xdr:to>
    <xdr:pic>
      <xdr:nvPicPr>
        <xdr:cNvPr id="13313" name="Picture 1"/>
        <xdr:cNvPicPr>
          <a:picLocks noChangeAspect="1" noChangeArrowheads="1"/>
        </xdr:cNvPicPr>
      </xdr:nvPicPr>
      <xdr:blipFill>
        <a:blip r:embed="rId1" cstate="print"/>
        <a:srcRect/>
        <a:stretch>
          <a:fillRect/>
        </a:stretch>
      </xdr:blipFill>
      <xdr:spPr>
        <a:xfrm>
          <a:off x="6991350" y="142875"/>
          <a:ext cx="1885950" cy="1290320"/>
        </a:xfrm>
        <a:prstGeom prst="rect">
          <a:avLst/>
        </a:prstGeom>
        <a:noFill/>
        <a:ln w="1">
          <a:noFill/>
          <a:miter lim="800000"/>
          <a:headEnd/>
          <a:tailEnd type="none" w="med" len="med"/>
        </a:ln>
        <a:effectLst/>
      </xdr:spPr>
    </xdr:pic>
    <xdr:clientData/>
  </xdr:twoCellAnchor>
  <xdr:twoCellAnchor>
    <xdr:from>
      <xdr:col>7</xdr:col>
      <xdr:colOff>133350</xdr:colOff>
      <xdr:row>0</xdr:row>
      <xdr:rowOff>123824</xdr:rowOff>
    </xdr:from>
    <xdr:to>
      <xdr:col>7</xdr:col>
      <xdr:colOff>714375</xdr:colOff>
      <xdr:row>2</xdr:row>
      <xdr:rowOff>114299</xdr:rowOff>
    </xdr:to>
    <xdr:sp>
      <xdr:nvSpPr>
        <xdr:cNvPr id="49" name="圆柱形 48"/>
        <xdr:cNvSpPr/>
      </xdr:nvSpPr>
      <xdr:spPr>
        <a:xfrm>
          <a:off x="7591425" y="123190"/>
          <a:ext cx="581025" cy="524510"/>
        </a:xfrm>
        <a:prstGeom prst="can">
          <a:avLst>
            <a:gd name="adj" fmla="val 50000"/>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rtlCol="0" anchor="ctr"/>
        <a:lstStyle/>
        <a:p>
          <a:pPr algn="ctr"/>
          <a:endParaRPr lang="zh-CN" altLang="en-US" sz="1100"/>
        </a:p>
      </xdr:txBody>
    </xdr:sp>
    <xdr:clientData/>
  </xdr:twoCellAnchor>
  <xdr:oneCellAnchor>
    <xdr:from>
      <xdr:col>7</xdr:col>
      <xdr:colOff>114300</xdr:colOff>
      <xdr:row>0</xdr:row>
      <xdr:rowOff>57150</xdr:rowOff>
    </xdr:from>
    <xdr:ext cx="658770" cy="467436"/>
    <xdr:sp>
      <xdr:nvSpPr>
        <xdr:cNvPr id="50" name="TextBox 49"/>
        <xdr:cNvSpPr txBox="1"/>
      </xdr:nvSpPr>
      <xdr:spPr>
        <a:xfrm>
          <a:off x="7572375" y="57150"/>
          <a:ext cx="658495" cy="4673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800" b="1">
              <a:solidFill>
                <a:schemeClr val="tx1"/>
              </a:solidFill>
              <a:latin typeface="Adobe 黑体 Std R" panose="020B0400000000000000" pitchFamily="34" charset="-122"/>
              <a:ea typeface="Adobe 黑体 Std R" panose="020B0400000000000000" pitchFamily="34" charset="-122"/>
            </a:rPr>
            <a:t>负载</a:t>
          </a:r>
          <a:endParaRPr lang="zh-CN" altLang="en-US" sz="1800" b="1">
            <a:solidFill>
              <a:schemeClr val="tx1"/>
            </a:solidFill>
            <a:latin typeface="Adobe 黑体 Std R" panose="020B0400000000000000" pitchFamily="34" charset="-122"/>
            <a:ea typeface="Adobe 黑体 Std R" panose="020B0400000000000000" pitchFamily="34" charset="-122"/>
          </a:endParaRPr>
        </a:p>
      </xdr:txBody>
    </xdr:sp>
    <xdr:clientData/>
  </xdr:oneCellAnchor>
  <xdr:twoCellAnchor editAs="oneCell">
    <xdr:from>
      <xdr:col>5</xdr:col>
      <xdr:colOff>9526</xdr:colOff>
      <xdr:row>38</xdr:row>
      <xdr:rowOff>9526</xdr:rowOff>
    </xdr:from>
    <xdr:to>
      <xdr:col>13</xdr:col>
      <xdr:colOff>0</xdr:colOff>
      <xdr:row>49</xdr:row>
      <xdr:rowOff>85654</xdr:rowOff>
    </xdr:to>
    <xdr:pic>
      <xdr:nvPicPr>
        <xdr:cNvPr id="13319" name="Picture 7"/>
        <xdr:cNvPicPr>
          <a:picLocks noChangeAspect="1" noChangeArrowheads="1"/>
        </xdr:cNvPicPr>
      </xdr:nvPicPr>
      <xdr:blipFill>
        <a:blip r:embed="rId2" cstate="print"/>
        <a:srcRect/>
        <a:stretch>
          <a:fillRect/>
        </a:stretch>
      </xdr:blipFill>
      <xdr:spPr>
        <a:xfrm>
          <a:off x="5848350" y="9733280"/>
          <a:ext cx="6467475" cy="2883535"/>
        </a:xfrm>
        <a:prstGeom prst="rect">
          <a:avLst/>
        </a:prstGeom>
        <a:noFill/>
        <a:ln w="1">
          <a:noFill/>
          <a:miter lim="800000"/>
          <a:headEnd/>
          <a:tailEnd type="none" w="med" len="med"/>
        </a:ln>
        <a:effectLst/>
      </xdr:spPr>
    </xdr:pic>
    <xdr:clientData/>
  </xdr:twoCellAnchor>
  <xdr:twoCellAnchor editAs="oneCell">
    <xdr:from>
      <xdr:col>5</xdr:col>
      <xdr:colOff>9526</xdr:colOff>
      <xdr:row>5</xdr:row>
      <xdr:rowOff>19051</xdr:rowOff>
    </xdr:from>
    <xdr:to>
      <xdr:col>12</xdr:col>
      <xdr:colOff>781051</xdr:colOff>
      <xdr:row>15</xdr:row>
      <xdr:rowOff>38100</xdr:rowOff>
    </xdr:to>
    <xdr:pic>
      <xdr:nvPicPr>
        <xdr:cNvPr id="13320" name="Picture 8"/>
        <xdr:cNvPicPr>
          <a:picLocks noChangeAspect="1" noChangeArrowheads="1"/>
        </xdr:cNvPicPr>
      </xdr:nvPicPr>
      <xdr:blipFill>
        <a:blip r:embed="rId3" cstate="print"/>
        <a:srcRect/>
        <a:stretch>
          <a:fillRect/>
        </a:stretch>
      </xdr:blipFill>
      <xdr:spPr>
        <a:xfrm>
          <a:off x="5848350" y="1318895"/>
          <a:ext cx="6438900" cy="2571750"/>
        </a:xfrm>
        <a:prstGeom prst="rect">
          <a:avLst/>
        </a:prstGeom>
        <a:noFill/>
        <a:ln w="1">
          <a:noFill/>
          <a:miter lim="800000"/>
          <a:headEnd/>
          <a:tailEnd type="none" w="med" len="med"/>
        </a:ln>
        <a:effectLst/>
      </xdr:spPr>
    </xdr:pic>
    <xdr:clientData/>
  </xdr:twoCellAnchor>
  <xdr:twoCellAnchor editAs="oneCell">
    <xdr:from>
      <xdr:col>5</xdr:col>
      <xdr:colOff>9525</xdr:colOff>
      <xdr:row>15</xdr:row>
      <xdr:rowOff>133352</xdr:rowOff>
    </xdr:from>
    <xdr:to>
      <xdr:col>12</xdr:col>
      <xdr:colOff>790575</xdr:colOff>
      <xdr:row>26</xdr:row>
      <xdr:rowOff>238126</xdr:rowOff>
    </xdr:to>
    <xdr:pic>
      <xdr:nvPicPr>
        <xdr:cNvPr id="13321" name="Picture 9"/>
        <xdr:cNvPicPr>
          <a:picLocks noChangeAspect="1" noChangeArrowheads="1"/>
        </xdr:cNvPicPr>
      </xdr:nvPicPr>
      <xdr:blipFill>
        <a:blip r:embed="rId4" cstate="print"/>
        <a:srcRect/>
        <a:stretch>
          <a:fillRect/>
        </a:stretch>
      </xdr:blipFill>
      <xdr:spPr>
        <a:xfrm>
          <a:off x="5848350" y="3985895"/>
          <a:ext cx="6448425" cy="2912745"/>
        </a:xfrm>
        <a:prstGeom prst="rect">
          <a:avLst/>
        </a:prstGeom>
        <a:noFill/>
        <a:ln w="1">
          <a:noFill/>
          <a:miter lim="800000"/>
          <a:headEnd/>
          <a:tailEnd type="none" w="med" len="med"/>
        </a:ln>
        <a:effectLst/>
      </xdr:spPr>
    </xdr:pic>
    <xdr:clientData/>
  </xdr:twoCellAnchor>
  <xdr:twoCellAnchor editAs="oneCell">
    <xdr:from>
      <xdr:col>5</xdr:col>
      <xdr:colOff>9525</xdr:colOff>
      <xdr:row>27</xdr:row>
      <xdr:rowOff>9526</xdr:rowOff>
    </xdr:from>
    <xdr:to>
      <xdr:col>12</xdr:col>
      <xdr:colOff>781050</xdr:colOff>
      <xdr:row>35</xdr:row>
      <xdr:rowOff>219075</xdr:rowOff>
    </xdr:to>
    <xdr:pic>
      <xdr:nvPicPr>
        <xdr:cNvPr id="13322" name="Picture 10"/>
        <xdr:cNvPicPr>
          <a:picLocks noChangeAspect="1" noChangeArrowheads="1"/>
        </xdr:cNvPicPr>
      </xdr:nvPicPr>
      <xdr:blipFill>
        <a:blip r:embed="rId5" cstate="print"/>
        <a:srcRect/>
        <a:stretch>
          <a:fillRect/>
        </a:stretch>
      </xdr:blipFill>
      <xdr:spPr>
        <a:xfrm>
          <a:off x="5848350" y="6925310"/>
          <a:ext cx="6438900" cy="2251710"/>
        </a:xfrm>
        <a:prstGeom prst="rect">
          <a:avLst/>
        </a:prstGeom>
        <a:noFill/>
        <a:ln w="1">
          <a:noFill/>
          <a:miter lim="800000"/>
          <a:headEnd/>
          <a:tailEnd type="none" w="med" len="med"/>
        </a:ln>
        <a:effectLst/>
      </xdr:spPr>
    </xdr:pic>
    <xdr:clientData/>
  </xdr:twoCellAnchor>
  <xdr:twoCellAnchor editAs="oneCell">
    <xdr:from>
      <xdr:col>5</xdr:col>
      <xdr:colOff>1</xdr:colOff>
      <xdr:row>51</xdr:row>
      <xdr:rowOff>0</xdr:rowOff>
    </xdr:from>
    <xdr:to>
      <xdr:col>12</xdr:col>
      <xdr:colOff>790575</xdr:colOff>
      <xdr:row>53</xdr:row>
      <xdr:rowOff>115923</xdr:rowOff>
    </xdr:to>
    <xdr:pic>
      <xdr:nvPicPr>
        <xdr:cNvPr id="13325" name="Picture 13"/>
        <xdr:cNvPicPr>
          <a:picLocks noChangeAspect="1" noChangeArrowheads="1"/>
        </xdr:cNvPicPr>
      </xdr:nvPicPr>
      <xdr:blipFill>
        <a:blip r:embed="rId6" cstate="print"/>
        <a:srcRect/>
        <a:stretch>
          <a:fillRect/>
        </a:stretch>
      </xdr:blipFill>
      <xdr:spPr>
        <a:xfrm>
          <a:off x="5838825" y="13042265"/>
          <a:ext cx="6457950" cy="626110"/>
        </a:xfrm>
        <a:prstGeom prst="rect">
          <a:avLst/>
        </a:prstGeom>
        <a:noFill/>
        <a:ln w="1">
          <a:noFill/>
          <a:miter lim="800000"/>
          <a:headEnd/>
          <a:tailEnd type="none" w="med" len="med"/>
        </a:ln>
        <a:effectLst/>
      </xdr:spPr>
    </xdr:pic>
    <xdr:clientData/>
  </xdr:twoCellAnchor>
  <xdr:twoCellAnchor editAs="oneCell">
    <xdr:from>
      <xdr:col>5</xdr:col>
      <xdr:colOff>9527</xdr:colOff>
      <xdr:row>53</xdr:row>
      <xdr:rowOff>76201</xdr:rowOff>
    </xdr:from>
    <xdr:to>
      <xdr:col>12</xdr:col>
      <xdr:colOff>800100</xdr:colOff>
      <xdr:row>56</xdr:row>
      <xdr:rowOff>219075</xdr:rowOff>
    </xdr:to>
    <xdr:pic>
      <xdr:nvPicPr>
        <xdr:cNvPr id="13324" name="Picture 12"/>
        <xdr:cNvPicPr>
          <a:picLocks noChangeAspect="1" noChangeArrowheads="1"/>
        </xdr:cNvPicPr>
      </xdr:nvPicPr>
      <xdr:blipFill>
        <a:blip r:embed="rId7" cstate="print"/>
        <a:srcRect/>
        <a:stretch>
          <a:fillRect/>
        </a:stretch>
      </xdr:blipFill>
      <xdr:spPr>
        <a:xfrm>
          <a:off x="5848350" y="13629005"/>
          <a:ext cx="6457950" cy="908685"/>
        </a:xfrm>
        <a:prstGeom prst="rect">
          <a:avLst/>
        </a:prstGeom>
        <a:noFill/>
        <a:ln w="1">
          <a:noFill/>
          <a:miter lim="800000"/>
          <a:headEnd/>
          <a:tailEnd type="none" w="med" len="med"/>
        </a:ln>
        <a:effectLst/>
      </xdr:spPr>
    </xdr:pic>
    <xdr:clientData/>
  </xdr:twoCellAnchor>
  <xdr:twoCellAnchor editAs="oneCell">
    <xdr:from>
      <xdr:col>0</xdr:col>
      <xdr:colOff>0</xdr:colOff>
      <xdr:row>34</xdr:row>
      <xdr:rowOff>0</xdr:rowOff>
    </xdr:from>
    <xdr:to>
      <xdr:col>2</xdr:col>
      <xdr:colOff>1038225</xdr:colOff>
      <xdr:row>43</xdr:row>
      <xdr:rowOff>0</xdr:rowOff>
    </xdr:to>
    <xdr:pic>
      <xdr:nvPicPr>
        <xdr:cNvPr id="13329" name="Picture 17"/>
        <xdr:cNvPicPr>
          <a:picLocks noChangeAspect="1" noChangeArrowheads="1"/>
        </xdr:cNvPicPr>
      </xdr:nvPicPr>
      <xdr:blipFill>
        <a:blip r:embed="rId8" cstate="print"/>
        <a:srcRect/>
        <a:stretch>
          <a:fillRect/>
        </a:stretch>
      </xdr:blipFill>
      <xdr:spPr>
        <a:xfrm>
          <a:off x="0" y="8702675"/>
          <a:ext cx="4010025" cy="2297430"/>
        </a:xfrm>
        <a:prstGeom prst="rect">
          <a:avLst/>
        </a:prstGeom>
        <a:noFill/>
        <a:ln w="1">
          <a:noFill/>
          <a:miter lim="800000"/>
          <a:headEnd/>
          <a:tailEnd type="none" w="med" len="med"/>
        </a:ln>
        <a:effectLst/>
      </xdr:spPr>
    </xdr:pic>
    <xdr:clientData/>
  </xdr:twoCellAnchor>
  <xdr:twoCellAnchor editAs="oneCell">
    <xdr:from>
      <xdr:col>0</xdr:col>
      <xdr:colOff>0</xdr:colOff>
      <xdr:row>44</xdr:row>
      <xdr:rowOff>0</xdr:rowOff>
    </xdr:from>
    <xdr:to>
      <xdr:col>3</xdr:col>
      <xdr:colOff>685800</xdr:colOff>
      <xdr:row>53</xdr:row>
      <xdr:rowOff>28575</xdr:rowOff>
    </xdr:to>
    <xdr:pic>
      <xdr:nvPicPr>
        <xdr:cNvPr id="13330" name="Picture 18"/>
        <xdr:cNvPicPr>
          <a:picLocks noChangeAspect="1" noChangeArrowheads="1"/>
        </xdr:cNvPicPr>
      </xdr:nvPicPr>
      <xdr:blipFill>
        <a:blip r:embed="rId9" cstate="print"/>
        <a:srcRect/>
        <a:stretch>
          <a:fillRect/>
        </a:stretch>
      </xdr:blipFill>
      <xdr:spPr>
        <a:xfrm>
          <a:off x="0" y="11255375"/>
          <a:ext cx="4848225" cy="232600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3" name="五边形 12">
          <a:hlinkClick xmlns:r="http://schemas.openxmlformats.org/officeDocument/2006/relationships" r:id="rId10"/>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twoCellAnchor editAs="oneCell">
    <xdr:from>
      <xdr:col>0</xdr:col>
      <xdr:colOff>419100</xdr:colOff>
      <xdr:row>23</xdr:row>
      <xdr:rowOff>219075</xdr:rowOff>
    </xdr:from>
    <xdr:to>
      <xdr:col>3</xdr:col>
      <xdr:colOff>476250</xdr:colOff>
      <xdr:row>29</xdr:row>
      <xdr:rowOff>1867</xdr:rowOff>
    </xdr:to>
    <xdr:pic>
      <xdr:nvPicPr>
        <xdr:cNvPr id="3" name="图片 2"/>
        <xdr:cNvPicPr>
          <a:picLocks noChangeAspect="1"/>
        </xdr:cNvPicPr>
      </xdr:nvPicPr>
      <xdr:blipFill>
        <a:blip r:embed="rId11" cstate="print"/>
        <a:stretch>
          <a:fillRect/>
        </a:stretch>
      </xdr:blipFill>
      <xdr:spPr>
        <a:xfrm>
          <a:off x="419100" y="6113780"/>
          <a:ext cx="4219575" cy="1313815"/>
        </a:xfrm>
        <a:prstGeom prst="rect">
          <a:avLst/>
        </a:prstGeom>
      </xdr:spPr>
    </xdr:pic>
    <xdr:clientData/>
  </xdr:twoCellAnchor>
</xdr:wsDr>
</file>

<file path=xl/drawings/drawing16.xml><?xml version="1.0" encoding="utf-8"?>
<xdr:wsDr xmlns:xdr="http://schemas.openxmlformats.org/drawingml/2006/spreadsheetDrawing" xmlns:r="http://schemas.openxmlformats.org/officeDocument/2006/relationships" xmlns:a="http://schemas.openxmlformats.org/drawingml/2006/main">
  <xdr:twoCellAnchor editAs="oneCell">
    <xdr:from>
      <xdr:col>11</xdr:col>
      <xdr:colOff>9525</xdr:colOff>
      <xdr:row>3</xdr:row>
      <xdr:rowOff>0</xdr:rowOff>
    </xdr:from>
    <xdr:to>
      <xdr:col>13</xdr:col>
      <xdr:colOff>409575</xdr:colOff>
      <xdr:row>6</xdr:row>
      <xdr:rowOff>19050</xdr:rowOff>
    </xdr:to>
    <xdr:pic>
      <xdr:nvPicPr>
        <xdr:cNvPr id="2" name="Picture 7"/>
        <xdr:cNvPicPr>
          <a:picLocks noChangeAspect="1" noChangeArrowheads="1"/>
        </xdr:cNvPicPr>
      </xdr:nvPicPr>
      <xdr:blipFill>
        <a:blip r:embed="rId1" cstate="print"/>
        <a:srcRect/>
        <a:stretch>
          <a:fillRect/>
        </a:stretch>
      </xdr:blipFill>
      <xdr:spPr>
        <a:xfrm>
          <a:off x="10344150" y="789305"/>
          <a:ext cx="2019300" cy="784860"/>
        </a:xfrm>
        <a:prstGeom prst="rect">
          <a:avLst/>
        </a:prstGeom>
        <a:noFill/>
        <a:ln w="1">
          <a:noFill/>
          <a:miter lim="800000"/>
          <a:headEnd/>
          <a:tailEnd type="none" w="med" len="med"/>
        </a:ln>
        <a:effectLst/>
      </xdr:spPr>
    </xdr:pic>
    <xdr:clientData/>
  </xdr:twoCellAnchor>
  <xdr:twoCellAnchor editAs="oneCell">
    <xdr:from>
      <xdr:col>11</xdr:col>
      <xdr:colOff>9526</xdr:colOff>
      <xdr:row>11</xdr:row>
      <xdr:rowOff>10998</xdr:rowOff>
    </xdr:from>
    <xdr:to>
      <xdr:col>13</xdr:col>
      <xdr:colOff>600075</xdr:colOff>
      <xdr:row>15</xdr:row>
      <xdr:rowOff>228600</xdr:rowOff>
    </xdr:to>
    <xdr:pic>
      <xdr:nvPicPr>
        <xdr:cNvPr id="3" name="Picture 19"/>
        <xdr:cNvPicPr>
          <a:picLocks noChangeAspect="1" noChangeArrowheads="1"/>
        </xdr:cNvPicPr>
      </xdr:nvPicPr>
      <xdr:blipFill>
        <a:blip r:embed="rId2" cstate="print"/>
        <a:srcRect/>
        <a:stretch>
          <a:fillRect/>
        </a:stretch>
      </xdr:blipFill>
      <xdr:spPr>
        <a:xfrm>
          <a:off x="10344150" y="2842260"/>
          <a:ext cx="2209800" cy="1238885"/>
        </a:xfrm>
        <a:prstGeom prst="rect">
          <a:avLst/>
        </a:prstGeom>
        <a:noFill/>
        <a:ln w="1">
          <a:noFill/>
          <a:miter lim="800000"/>
          <a:headEnd/>
          <a:tailEnd type="none" w="med" len="med"/>
        </a:ln>
        <a:effectLst/>
      </xdr:spPr>
    </xdr:pic>
    <xdr:clientData/>
  </xdr:twoCellAnchor>
  <xdr:twoCellAnchor editAs="oneCell">
    <xdr:from>
      <xdr:col>11</xdr:col>
      <xdr:colOff>9527</xdr:colOff>
      <xdr:row>6</xdr:row>
      <xdr:rowOff>95250</xdr:rowOff>
    </xdr:from>
    <xdr:to>
      <xdr:col>13</xdr:col>
      <xdr:colOff>342901</xdr:colOff>
      <xdr:row>10</xdr:row>
      <xdr:rowOff>190500</xdr:rowOff>
    </xdr:to>
    <xdr:pic>
      <xdr:nvPicPr>
        <xdr:cNvPr id="6" name="Picture 4"/>
        <xdr:cNvPicPr>
          <a:picLocks noChangeAspect="1" noChangeArrowheads="1"/>
        </xdr:cNvPicPr>
      </xdr:nvPicPr>
      <xdr:blipFill>
        <a:blip r:embed="rId3" cstate="print"/>
        <a:srcRect/>
        <a:stretch>
          <a:fillRect/>
        </a:stretch>
      </xdr:blipFill>
      <xdr:spPr>
        <a:xfrm>
          <a:off x="10344150" y="1650365"/>
          <a:ext cx="1952625" cy="1116330"/>
        </a:xfrm>
        <a:prstGeom prst="rect">
          <a:avLst/>
        </a:prstGeom>
        <a:noFill/>
        <a:ln w="1">
          <a:noFill/>
          <a:miter lim="800000"/>
          <a:headEnd/>
          <a:tailEnd type="none" w="med" len="med"/>
        </a:ln>
        <a:effectLst/>
      </xdr:spPr>
    </xdr:pic>
    <xdr:clientData/>
  </xdr:twoCellAnchor>
  <xdr:twoCellAnchor editAs="oneCell">
    <xdr:from>
      <xdr:col>5</xdr:col>
      <xdr:colOff>9526</xdr:colOff>
      <xdr:row>17</xdr:row>
      <xdr:rowOff>243532</xdr:rowOff>
    </xdr:from>
    <xdr:to>
      <xdr:col>13</xdr:col>
      <xdr:colOff>514350</xdr:colOff>
      <xdr:row>31</xdr:row>
      <xdr:rowOff>161926</xdr:rowOff>
    </xdr:to>
    <xdr:pic>
      <xdr:nvPicPr>
        <xdr:cNvPr id="15" name="Picture 6"/>
        <xdr:cNvPicPr>
          <a:picLocks noChangeAspect="1" noChangeArrowheads="1"/>
        </xdr:cNvPicPr>
      </xdr:nvPicPr>
      <xdr:blipFill>
        <a:blip r:embed="rId4" cstate="print"/>
        <a:srcRect/>
        <a:stretch>
          <a:fillRect/>
        </a:stretch>
      </xdr:blipFill>
      <xdr:spPr>
        <a:xfrm>
          <a:off x="5705475" y="4606290"/>
          <a:ext cx="6762750" cy="3492500"/>
        </a:xfrm>
        <a:prstGeom prst="rect">
          <a:avLst/>
        </a:prstGeom>
        <a:noFill/>
        <a:ln w="1">
          <a:noFill/>
          <a:miter lim="800000"/>
          <a:headEnd/>
          <a:tailEnd type="none" w="med" len="med"/>
        </a:ln>
        <a:effectLst/>
      </xdr:spPr>
    </xdr:pic>
    <xdr:clientData/>
  </xdr:twoCellAnchor>
  <xdr:twoCellAnchor editAs="oneCell">
    <xdr:from>
      <xdr:col>5</xdr:col>
      <xdr:colOff>9525</xdr:colOff>
      <xdr:row>39</xdr:row>
      <xdr:rowOff>123825</xdr:rowOff>
    </xdr:from>
    <xdr:to>
      <xdr:col>13</xdr:col>
      <xdr:colOff>533400</xdr:colOff>
      <xdr:row>65</xdr:row>
      <xdr:rowOff>238125</xdr:rowOff>
    </xdr:to>
    <xdr:pic>
      <xdr:nvPicPr>
        <xdr:cNvPr id="16" name="Picture 8"/>
        <xdr:cNvPicPr>
          <a:picLocks noChangeAspect="1" noChangeArrowheads="1"/>
        </xdr:cNvPicPr>
      </xdr:nvPicPr>
      <xdr:blipFill>
        <a:blip r:embed="rId5" cstate="print"/>
        <a:srcRect/>
        <a:stretch>
          <a:fillRect/>
        </a:stretch>
      </xdr:blipFill>
      <xdr:spPr>
        <a:xfrm>
          <a:off x="5705475" y="10102850"/>
          <a:ext cx="6781800" cy="6751320"/>
        </a:xfrm>
        <a:prstGeom prst="rect">
          <a:avLst/>
        </a:prstGeom>
        <a:noFill/>
        <a:ln w="1">
          <a:noFill/>
          <a:miter lim="800000"/>
          <a:headEnd/>
          <a:tailEnd type="none" w="med" len="med"/>
        </a:ln>
        <a:effectLst/>
      </xdr:spPr>
    </xdr:pic>
    <xdr:clientData/>
  </xdr:twoCellAnchor>
  <xdr:twoCellAnchor editAs="oneCell">
    <xdr:from>
      <xdr:col>5</xdr:col>
      <xdr:colOff>0</xdr:colOff>
      <xdr:row>65</xdr:row>
      <xdr:rowOff>171450</xdr:rowOff>
    </xdr:from>
    <xdr:to>
      <xdr:col>13</xdr:col>
      <xdr:colOff>485775</xdr:colOff>
      <xdr:row>92</xdr:row>
      <xdr:rowOff>0</xdr:rowOff>
    </xdr:to>
    <xdr:pic>
      <xdr:nvPicPr>
        <xdr:cNvPr id="17" name="Picture 9"/>
        <xdr:cNvPicPr>
          <a:picLocks noChangeAspect="1" noChangeArrowheads="1"/>
        </xdr:cNvPicPr>
      </xdr:nvPicPr>
      <xdr:blipFill>
        <a:blip r:embed="rId6" cstate="print"/>
        <a:srcRect/>
        <a:stretch>
          <a:fillRect/>
        </a:stretch>
      </xdr:blipFill>
      <xdr:spPr>
        <a:xfrm>
          <a:off x="5695950" y="16787495"/>
          <a:ext cx="6743700" cy="6720840"/>
        </a:xfrm>
        <a:prstGeom prst="rect">
          <a:avLst/>
        </a:prstGeom>
        <a:noFill/>
        <a:ln w="1">
          <a:noFill/>
          <a:miter lim="800000"/>
          <a:headEnd/>
          <a:tailEnd type="none" w="med" len="med"/>
        </a:ln>
        <a:effectLst/>
      </xdr:spPr>
    </xdr:pic>
    <xdr:clientData/>
  </xdr:twoCellAnchor>
  <xdr:twoCellAnchor editAs="oneCell">
    <xdr:from>
      <xdr:col>4</xdr:col>
      <xdr:colOff>533400</xdr:colOff>
      <xdr:row>91</xdr:row>
      <xdr:rowOff>200025</xdr:rowOff>
    </xdr:from>
    <xdr:to>
      <xdr:col>13</xdr:col>
      <xdr:colOff>495300</xdr:colOff>
      <xdr:row>104</xdr:row>
      <xdr:rowOff>238125</xdr:rowOff>
    </xdr:to>
    <xdr:pic>
      <xdr:nvPicPr>
        <xdr:cNvPr id="18" name="Picture 10"/>
        <xdr:cNvPicPr>
          <a:picLocks noChangeAspect="1" noChangeArrowheads="1"/>
        </xdr:cNvPicPr>
      </xdr:nvPicPr>
      <xdr:blipFill>
        <a:blip r:embed="rId7" cstate="print"/>
        <a:srcRect/>
        <a:stretch>
          <a:fillRect/>
        </a:stretch>
      </xdr:blipFill>
      <xdr:spPr>
        <a:xfrm>
          <a:off x="5695950" y="23453090"/>
          <a:ext cx="6753225" cy="3356610"/>
        </a:xfrm>
        <a:prstGeom prst="rect">
          <a:avLst/>
        </a:prstGeom>
        <a:noFill/>
        <a:ln w="1">
          <a:noFill/>
          <a:miter lim="800000"/>
          <a:headEnd/>
          <a:tailEnd type="none" w="med" len="med"/>
        </a:ln>
        <a:effectLst/>
      </xdr:spPr>
    </xdr:pic>
    <xdr:clientData/>
  </xdr:twoCellAnchor>
  <xdr:twoCellAnchor editAs="oneCell">
    <xdr:from>
      <xdr:col>5</xdr:col>
      <xdr:colOff>9525</xdr:colOff>
      <xdr:row>31</xdr:row>
      <xdr:rowOff>171450</xdr:rowOff>
    </xdr:from>
    <xdr:to>
      <xdr:col>13</xdr:col>
      <xdr:colOff>514350</xdr:colOff>
      <xdr:row>40</xdr:row>
      <xdr:rowOff>12661</xdr:rowOff>
    </xdr:to>
    <xdr:pic>
      <xdr:nvPicPr>
        <xdr:cNvPr id="19" name="Picture 11"/>
        <xdr:cNvPicPr>
          <a:picLocks noChangeAspect="1" noChangeArrowheads="1"/>
        </xdr:cNvPicPr>
      </xdr:nvPicPr>
      <xdr:blipFill>
        <a:blip r:embed="rId8" cstate="print"/>
        <a:srcRect/>
        <a:stretch>
          <a:fillRect/>
        </a:stretch>
      </xdr:blipFill>
      <xdr:spPr>
        <a:xfrm>
          <a:off x="5705475" y="8108315"/>
          <a:ext cx="6762750" cy="2138045"/>
        </a:xfrm>
        <a:prstGeom prst="rect">
          <a:avLst/>
        </a:prstGeom>
        <a:noFill/>
        <a:ln w="1">
          <a:noFill/>
          <a:miter lim="800000"/>
          <a:headEnd/>
          <a:tailEnd type="none" w="med" len="med"/>
        </a:ln>
        <a:effectLst/>
      </xdr:spPr>
    </xdr:pic>
    <xdr:clientData/>
  </xdr:twoCellAnchor>
  <xdr:twoCellAnchor editAs="oneCell">
    <xdr:from>
      <xdr:col>0</xdr:col>
      <xdr:colOff>0</xdr:colOff>
      <xdr:row>23</xdr:row>
      <xdr:rowOff>0</xdr:rowOff>
    </xdr:from>
    <xdr:to>
      <xdr:col>3</xdr:col>
      <xdr:colOff>819150</xdr:colOff>
      <xdr:row>50</xdr:row>
      <xdr:rowOff>85725</xdr:rowOff>
    </xdr:to>
    <xdr:pic>
      <xdr:nvPicPr>
        <xdr:cNvPr id="27" name="Picture 8"/>
        <xdr:cNvPicPr>
          <a:picLocks noChangeAspect="1" noChangeArrowheads="1"/>
        </xdr:cNvPicPr>
      </xdr:nvPicPr>
      <xdr:blipFill>
        <a:blip r:embed="rId9" cstate="print"/>
        <a:srcRect/>
        <a:stretch>
          <a:fillRect/>
        </a:stretch>
      </xdr:blipFill>
      <xdr:spPr>
        <a:xfrm>
          <a:off x="0" y="5894705"/>
          <a:ext cx="4648200" cy="697801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1" name="五边形 10">
          <a:hlinkClick xmlns:r="http://schemas.openxmlformats.org/officeDocument/2006/relationships" r:id="rId10"/>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17.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9525</xdr:colOff>
      <xdr:row>3</xdr:row>
      <xdr:rowOff>9525</xdr:rowOff>
    </xdr:from>
    <xdr:to>
      <xdr:col>4</xdr:col>
      <xdr:colOff>447675</xdr:colOff>
      <xdr:row>6</xdr:row>
      <xdr:rowOff>238125</xdr:rowOff>
    </xdr:to>
    <xdr:pic>
      <xdr:nvPicPr>
        <xdr:cNvPr id="14356" name="Picture 20"/>
        <xdr:cNvPicPr>
          <a:picLocks noChangeAspect="1" noChangeArrowheads="1"/>
        </xdr:cNvPicPr>
      </xdr:nvPicPr>
      <xdr:blipFill>
        <a:blip r:embed="rId1" cstate="print"/>
        <a:srcRect/>
        <a:stretch>
          <a:fillRect/>
        </a:stretch>
      </xdr:blipFill>
      <xdr:spPr>
        <a:xfrm>
          <a:off x="4010025" y="798830"/>
          <a:ext cx="1809750" cy="994410"/>
        </a:xfrm>
        <a:prstGeom prst="rect">
          <a:avLst/>
        </a:prstGeom>
        <a:noFill/>
        <a:ln w="1">
          <a:noFill/>
          <a:miter lim="800000"/>
          <a:headEnd/>
          <a:tailEnd type="none" w="med" len="med"/>
        </a:ln>
        <a:effectLst/>
      </xdr:spPr>
    </xdr:pic>
    <xdr:clientData/>
  </xdr:twoCellAnchor>
  <xdr:twoCellAnchor editAs="oneCell">
    <xdr:from>
      <xdr:col>5</xdr:col>
      <xdr:colOff>9527</xdr:colOff>
      <xdr:row>2</xdr:row>
      <xdr:rowOff>9525</xdr:rowOff>
    </xdr:from>
    <xdr:to>
      <xdr:col>9</xdr:col>
      <xdr:colOff>209550</xdr:colOff>
      <xdr:row>9</xdr:row>
      <xdr:rowOff>19050</xdr:rowOff>
    </xdr:to>
    <xdr:pic>
      <xdr:nvPicPr>
        <xdr:cNvPr id="14363" name="Picture 27"/>
        <xdr:cNvPicPr>
          <a:picLocks noChangeAspect="1" noChangeArrowheads="1"/>
        </xdr:cNvPicPr>
      </xdr:nvPicPr>
      <xdr:blipFill>
        <a:blip r:embed="rId2" cstate="print"/>
        <a:srcRect/>
        <a:stretch>
          <a:fillRect/>
        </a:stretch>
      </xdr:blipFill>
      <xdr:spPr>
        <a:xfrm>
          <a:off x="5924550" y="543560"/>
          <a:ext cx="3438525" cy="1796415"/>
        </a:xfrm>
        <a:prstGeom prst="rect">
          <a:avLst/>
        </a:prstGeom>
        <a:noFill/>
        <a:ln w="1">
          <a:noFill/>
          <a:miter lim="800000"/>
          <a:headEnd/>
          <a:tailEnd type="none" w="med" len="med"/>
        </a:ln>
        <a:effectLst/>
      </xdr:spPr>
    </xdr:pic>
    <xdr:clientData/>
  </xdr:twoCellAnchor>
  <xdr:twoCellAnchor editAs="oneCell">
    <xdr:from>
      <xdr:col>0</xdr:col>
      <xdr:colOff>0</xdr:colOff>
      <xdr:row>58</xdr:row>
      <xdr:rowOff>0</xdr:rowOff>
    </xdr:from>
    <xdr:to>
      <xdr:col>5</xdr:col>
      <xdr:colOff>34510</xdr:colOff>
      <xdr:row>82</xdr:row>
      <xdr:rowOff>57150</xdr:rowOff>
    </xdr:to>
    <xdr:pic>
      <xdr:nvPicPr>
        <xdr:cNvPr id="12296" name="Picture 8"/>
        <xdr:cNvPicPr>
          <a:picLocks noChangeAspect="1" noChangeArrowheads="1"/>
        </xdr:cNvPicPr>
      </xdr:nvPicPr>
      <xdr:blipFill>
        <a:blip r:embed="rId3" cstate="print"/>
        <a:srcRect/>
        <a:stretch>
          <a:fillRect/>
        </a:stretch>
      </xdr:blipFill>
      <xdr:spPr>
        <a:xfrm>
          <a:off x="0" y="14829155"/>
          <a:ext cx="5949315" cy="6183630"/>
        </a:xfrm>
        <a:prstGeom prst="rect">
          <a:avLst/>
        </a:prstGeom>
        <a:noFill/>
        <a:ln w="1">
          <a:noFill/>
          <a:miter lim="800000"/>
          <a:headEnd/>
          <a:tailEnd type="none" w="med" len="med"/>
        </a:ln>
        <a:effectLst/>
      </xdr:spPr>
    </xdr:pic>
    <xdr:clientData/>
  </xdr:twoCellAnchor>
  <xdr:twoCellAnchor editAs="oneCell">
    <xdr:from>
      <xdr:col>5</xdr:col>
      <xdr:colOff>0</xdr:colOff>
      <xdr:row>20</xdr:row>
      <xdr:rowOff>0</xdr:rowOff>
    </xdr:from>
    <xdr:to>
      <xdr:col>13</xdr:col>
      <xdr:colOff>28575</xdr:colOff>
      <xdr:row>21</xdr:row>
      <xdr:rowOff>209550</xdr:rowOff>
    </xdr:to>
    <xdr:pic>
      <xdr:nvPicPr>
        <xdr:cNvPr id="12300" name="Picture 12"/>
        <xdr:cNvPicPr>
          <a:picLocks noChangeAspect="1" noChangeArrowheads="1"/>
        </xdr:cNvPicPr>
      </xdr:nvPicPr>
      <xdr:blipFill>
        <a:blip r:embed="rId4" cstate="print"/>
        <a:srcRect/>
        <a:stretch>
          <a:fillRect/>
        </a:stretch>
      </xdr:blipFill>
      <xdr:spPr>
        <a:xfrm>
          <a:off x="5915025" y="5128895"/>
          <a:ext cx="6286500" cy="464820"/>
        </a:xfrm>
        <a:prstGeom prst="rect">
          <a:avLst/>
        </a:prstGeom>
        <a:noFill/>
        <a:ln w="1">
          <a:noFill/>
          <a:miter lim="800000"/>
          <a:headEnd/>
          <a:tailEnd type="none" w="med" len="med"/>
        </a:ln>
        <a:effectLst/>
      </xdr:spPr>
    </xdr:pic>
    <xdr:clientData/>
  </xdr:twoCellAnchor>
  <xdr:twoCellAnchor editAs="oneCell">
    <xdr:from>
      <xdr:col>4</xdr:col>
      <xdr:colOff>533401</xdr:colOff>
      <xdr:row>21</xdr:row>
      <xdr:rowOff>190500</xdr:rowOff>
    </xdr:from>
    <xdr:to>
      <xdr:col>13</xdr:col>
      <xdr:colOff>28575</xdr:colOff>
      <xdr:row>41</xdr:row>
      <xdr:rowOff>247649</xdr:rowOff>
    </xdr:to>
    <xdr:pic>
      <xdr:nvPicPr>
        <xdr:cNvPr id="12302" name="Picture 14"/>
        <xdr:cNvPicPr>
          <a:picLocks noChangeAspect="1" noChangeArrowheads="1"/>
        </xdr:cNvPicPr>
      </xdr:nvPicPr>
      <xdr:blipFill>
        <a:blip r:embed="rId5" cstate="print"/>
        <a:srcRect/>
        <a:stretch>
          <a:fillRect/>
        </a:stretch>
      </xdr:blipFill>
      <xdr:spPr>
        <a:xfrm>
          <a:off x="5905500" y="5574665"/>
          <a:ext cx="6296025" cy="5161915"/>
        </a:xfrm>
        <a:prstGeom prst="rect">
          <a:avLst/>
        </a:prstGeom>
        <a:noFill/>
        <a:ln w="1">
          <a:noFill/>
          <a:miter lim="800000"/>
          <a:headEnd/>
          <a:tailEnd type="none" w="med" len="med"/>
        </a:ln>
        <a:effectLst/>
      </xdr:spPr>
    </xdr:pic>
    <xdr:clientData/>
  </xdr:twoCellAnchor>
  <xdr:twoCellAnchor editAs="oneCell">
    <xdr:from>
      <xdr:col>0</xdr:col>
      <xdr:colOff>0</xdr:colOff>
      <xdr:row>106</xdr:row>
      <xdr:rowOff>123825</xdr:rowOff>
    </xdr:from>
    <xdr:to>
      <xdr:col>5</xdr:col>
      <xdr:colOff>19050</xdr:colOff>
      <xdr:row>116</xdr:row>
      <xdr:rowOff>152634</xdr:rowOff>
    </xdr:to>
    <xdr:pic>
      <xdr:nvPicPr>
        <xdr:cNvPr id="12306" name="Picture 18"/>
        <xdr:cNvPicPr>
          <a:picLocks noChangeAspect="1" noChangeArrowheads="1"/>
        </xdr:cNvPicPr>
      </xdr:nvPicPr>
      <xdr:blipFill>
        <a:blip r:embed="rId6" cstate="print"/>
        <a:srcRect/>
        <a:stretch>
          <a:fillRect/>
        </a:stretch>
      </xdr:blipFill>
      <xdr:spPr>
        <a:xfrm>
          <a:off x="0" y="27205940"/>
          <a:ext cx="5934075" cy="2581275"/>
        </a:xfrm>
        <a:prstGeom prst="rect">
          <a:avLst/>
        </a:prstGeom>
        <a:noFill/>
        <a:ln w="1">
          <a:noFill/>
          <a:miter lim="800000"/>
          <a:headEnd/>
          <a:tailEnd type="none" w="med" len="med"/>
        </a:ln>
        <a:effectLst/>
      </xdr:spPr>
    </xdr:pic>
    <xdr:clientData/>
  </xdr:twoCellAnchor>
  <xdr:twoCellAnchor editAs="oneCell">
    <xdr:from>
      <xdr:col>0</xdr:col>
      <xdr:colOff>0</xdr:colOff>
      <xdr:row>82</xdr:row>
      <xdr:rowOff>0</xdr:rowOff>
    </xdr:from>
    <xdr:to>
      <xdr:col>5</xdr:col>
      <xdr:colOff>25365</xdr:colOff>
      <xdr:row>106</xdr:row>
      <xdr:rowOff>133350</xdr:rowOff>
    </xdr:to>
    <xdr:pic>
      <xdr:nvPicPr>
        <xdr:cNvPr id="12307" name="Picture 19"/>
        <xdr:cNvPicPr>
          <a:picLocks noChangeAspect="1" noChangeArrowheads="1"/>
        </xdr:cNvPicPr>
      </xdr:nvPicPr>
      <xdr:blipFill>
        <a:blip r:embed="rId7" cstate="print"/>
        <a:srcRect/>
        <a:stretch>
          <a:fillRect/>
        </a:stretch>
      </xdr:blipFill>
      <xdr:spPr>
        <a:xfrm>
          <a:off x="0" y="20955635"/>
          <a:ext cx="5939790" cy="6259830"/>
        </a:xfrm>
        <a:prstGeom prst="rect">
          <a:avLst/>
        </a:prstGeom>
        <a:noFill/>
        <a:ln w="1">
          <a:noFill/>
          <a:miter lim="800000"/>
          <a:headEnd/>
          <a:tailEnd type="none" w="med" len="med"/>
        </a:ln>
        <a:effectLst/>
      </xdr:spPr>
    </xdr:pic>
    <xdr:clientData/>
  </xdr:twoCellAnchor>
  <xdr:twoCellAnchor editAs="oneCell">
    <xdr:from>
      <xdr:col>5</xdr:col>
      <xdr:colOff>0</xdr:colOff>
      <xdr:row>41</xdr:row>
      <xdr:rowOff>228600</xdr:rowOff>
    </xdr:from>
    <xdr:to>
      <xdr:col>13</xdr:col>
      <xdr:colOff>28575</xdr:colOff>
      <xdr:row>56</xdr:row>
      <xdr:rowOff>66675</xdr:rowOff>
    </xdr:to>
    <xdr:pic>
      <xdr:nvPicPr>
        <xdr:cNvPr id="26" name="Picture 15"/>
        <xdr:cNvPicPr>
          <a:picLocks noChangeAspect="1" noChangeArrowheads="1"/>
        </xdr:cNvPicPr>
      </xdr:nvPicPr>
      <xdr:blipFill>
        <a:blip r:embed="rId8" cstate="print"/>
        <a:srcRect/>
        <a:stretch>
          <a:fillRect/>
        </a:stretch>
      </xdr:blipFill>
      <xdr:spPr>
        <a:xfrm>
          <a:off x="5915025" y="10718165"/>
          <a:ext cx="6286500" cy="3667125"/>
        </a:xfrm>
        <a:prstGeom prst="rect">
          <a:avLst/>
        </a:prstGeom>
        <a:noFill/>
        <a:ln w="1">
          <a:noFill/>
          <a:miter lim="800000"/>
          <a:headEnd/>
          <a:tailEnd type="none" w="med" len="med"/>
        </a:ln>
        <a:effectLst/>
      </xdr:spPr>
    </xdr:pic>
    <xdr:clientData/>
  </xdr:twoCellAnchor>
  <xdr:twoCellAnchor editAs="oneCell">
    <xdr:from>
      <xdr:col>9</xdr:col>
      <xdr:colOff>295277</xdr:colOff>
      <xdr:row>2</xdr:row>
      <xdr:rowOff>1</xdr:rowOff>
    </xdr:from>
    <xdr:to>
      <xdr:col>13</xdr:col>
      <xdr:colOff>180976</xdr:colOff>
      <xdr:row>9</xdr:row>
      <xdr:rowOff>95250</xdr:rowOff>
    </xdr:to>
    <xdr:pic>
      <xdr:nvPicPr>
        <xdr:cNvPr id="13328" name="Picture 16"/>
        <xdr:cNvPicPr>
          <a:picLocks noChangeAspect="1" noChangeArrowheads="1"/>
        </xdr:cNvPicPr>
      </xdr:nvPicPr>
      <xdr:blipFill>
        <a:blip r:embed="rId9" cstate="print"/>
        <a:srcRect/>
        <a:stretch>
          <a:fillRect/>
        </a:stretch>
      </xdr:blipFill>
      <xdr:spPr>
        <a:xfrm>
          <a:off x="9448800" y="534035"/>
          <a:ext cx="2905125" cy="188214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1" name="五边形 10">
          <a:hlinkClick xmlns:r="http://schemas.openxmlformats.org/officeDocument/2006/relationships" r:id="rId10"/>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18.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1</xdr:row>
      <xdr:rowOff>0</xdr:rowOff>
    </xdr:from>
    <xdr:to>
      <xdr:col>13</xdr:col>
      <xdr:colOff>152400</xdr:colOff>
      <xdr:row>18</xdr:row>
      <xdr:rowOff>219075</xdr:rowOff>
    </xdr:to>
    <xdr:pic>
      <xdr:nvPicPr>
        <xdr:cNvPr id="12290" name="Picture 2"/>
        <xdr:cNvPicPr>
          <a:picLocks noChangeAspect="1" noChangeArrowheads="1"/>
        </xdr:cNvPicPr>
      </xdr:nvPicPr>
      <xdr:blipFill>
        <a:blip r:embed="rId1" cstate="print"/>
        <a:srcRect/>
        <a:stretch>
          <a:fillRect/>
        </a:stretch>
      </xdr:blipFill>
      <xdr:spPr>
        <a:xfrm>
          <a:off x="5953125" y="278765"/>
          <a:ext cx="6000750" cy="4558665"/>
        </a:xfrm>
        <a:prstGeom prst="rect">
          <a:avLst/>
        </a:prstGeom>
        <a:noFill/>
        <a:ln w="1">
          <a:noFill/>
          <a:miter lim="800000"/>
          <a:headEnd/>
          <a:tailEnd type="none" w="med" len="med"/>
        </a:ln>
        <a:effectLst/>
      </xdr:spPr>
    </xdr:pic>
    <xdr:clientData/>
  </xdr:twoCellAnchor>
  <xdr:twoCellAnchor editAs="oneCell">
    <xdr:from>
      <xdr:col>5</xdr:col>
      <xdr:colOff>0</xdr:colOff>
      <xdr:row>18</xdr:row>
      <xdr:rowOff>228600</xdr:rowOff>
    </xdr:from>
    <xdr:to>
      <xdr:col>13</xdr:col>
      <xdr:colOff>161925</xdr:colOff>
      <xdr:row>38</xdr:row>
      <xdr:rowOff>228600</xdr:rowOff>
    </xdr:to>
    <xdr:pic>
      <xdr:nvPicPr>
        <xdr:cNvPr id="12291" name="Picture 3"/>
        <xdr:cNvPicPr>
          <a:picLocks noChangeAspect="1" noChangeArrowheads="1"/>
        </xdr:cNvPicPr>
      </xdr:nvPicPr>
      <xdr:blipFill>
        <a:blip r:embed="rId2" cstate="print"/>
        <a:srcRect/>
        <a:stretch>
          <a:fillRect/>
        </a:stretch>
      </xdr:blipFill>
      <xdr:spPr>
        <a:xfrm>
          <a:off x="5953125" y="4846955"/>
          <a:ext cx="6010275" cy="5105400"/>
        </a:xfrm>
        <a:prstGeom prst="rect">
          <a:avLst/>
        </a:prstGeom>
        <a:noFill/>
        <a:ln w="1">
          <a:noFill/>
          <a:miter lim="800000"/>
          <a:headEnd/>
          <a:tailEnd type="none" w="med" len="med"/>
        </a:ln>
        <a:effectLst/>
      </xdr:spPr>
    </xdr:pic>
    <xdr:clientData/>
  </xdr:twoCellAnchor>
  <xdr:twoCellAnchor editAs="oneCell">
    <xdr:from>
      <xdr:col>14</xdr:col>
      <xdr:colOff>0</xdr:colOff>
      <xdr:row>1</xdr:row>
      <xdr:rowOff>0</xdr:rowOff>
    </xdr:from>
    <xdr:to>
      <xdr:col>22</xdr:col>
      <xdr:colOff>542925</xdr:colOff>
      <xdr:row>18</xdr:row>
      <xdr:rowOff>19050</xdr:rowOff>
    </xdr:to>
    <xdr:pic>
      <xdr:nvPicPr>
        <xdr:cNvPr id="12292" name="Picture 4"/>
        <xdr:cNvPicPr>
          <a:picLocks noChangeAspect="1" noChangeArrowheads="1"/>
        </xdr:cNvPicPr>
      </xdr:nvPicPr>
      <xdr:blipFill>
        <a:blip r:embed="rId3" cstate="print"/>
        <a:srcRect/>
        <a:stretch>
          <a:fillRect/>
        </a:stretch>
      </xdr:blipFill>
      <xdr:spPr>
        <a:xfrm>
          <a:off x="12134850" y="278765"/>
          <a:ext cx="6715125" cy="4358640"/>
        </a:xfrm>
        <a:prstGeom prst="rect">
          <a:avLst/>
        </a:prstGeom>
        <a:noFill/>
        <a:ln w="1">
          <a:noFill/>
          <a:miter lim="800000"/>
          <a:headEnd/>
          <a:tailEnd type="none" w="med" len="med"/>
        </a:ln>
        <a:effectLst/>
      </xdr:spPr>
    </xdr:pic>
    <xdr:clientData/>
  </xdr:twoCellAnchor>
  <xdr:twoCellAnchor editAs="oneCell">
    <xdr:from>
      <xdr:col>14</xdr:col>
      <xdr:colOff>9525</xdr:colOff>
      <xdr:row>18</xdr:row>
      <xdr:rowOff>0</xdr:rowOff>
    </xdr:from>
    <xdr:to>
      <xdr:col>22</xdr:col>
      <xdr:colOff>571500</xdr:colOff>
      <xdr:row>36</xdr:row>
      <xdr:rowOff>200025</xdr:rowOff>
    </xdr:to>
    <xdr:pic>
      <xdr:nvPicPr>
        <xdr:cNvPr id="12293" name="Picture 5"/>
        <xdr:cNvPicPr>
          <a:picLocks noChangeAspect="1" noChangeArrowheads="1"/>
        </xdr:cNvPicPr>
      </xdr:nvPicPr>
      <xdr:blipFill>
        <a:blip r:embed="rId4" cstate="print"/>
        <a:srcRect/>
        <a:stretch>
          <a:fillRect/>
        </a:stretch>
      </xdr:blipFill>
      <xdr:spPr>
        <a:xfrm>
          <a:off x="12144375" y="4618355"/>
          <a:ext cx="6734175" cy="4794885"/>
        </a:xfrm>
        <a:prstGeom prst="rect">
          <a:avLst/>
        </a:prstGeom>
        <a:noFill/>
        <a:ln w="1">
          <a:noFill/>
          <a:miter lim="800000"/>
          <a:headEnd/>
          <a:tailEnd type="none" w="med" len="med"/>
        </a:ln>
        <a:effectLst/>
      </xdr:spPr>
    </xdr:pic>
    <xdr:clientData/>
  </xdr:twoCellAnchor>
  <xdr:twoCellAnchor editAs="oneCell">
    <xdr:from>
      <xdr:col>5</xdr:col>
      <xdr:colOff>0</xdr:colOff>
      <xdr:row>39</xdr:row>
      <xdr:rowOff>1</xdr:rowOff>
    </xdr:from>
    <xdr:to>
      <xdr:col>13</xdr:col>
      <xdr:colOff>171450</xdr:colOff>
      <xdr:row>54</xdr:row>
      <xdr:rowOff>64727</xdr:rowOff>
    </xdr:to>
    <xdr:pic>
      <xdr:nvPicPr>
        <xdr:cNvPr id="17" name="Picture 6"/>
        <xdr:cNvPicPr>
          <a:picLocks noChangeAspect="1" noChangeArrowheads="1"/>
        </xdr:cNvPicPr>
      </xdr:nvPicPr>
      <xdr:blipFill>
        <a:blip r:embed="rId5" cstate="print"/>
        <a:srcRect/>
        <a:stretch>
          <a:fillRect/>
        </a:stretch>
      </xdr:blipFill>
      <xdr:spPr>
        <a:xfrm>
          <a:off x="5953125" y="9979025"/>
          <a:ext cx="6019800" cy="3893185"/>
        </a:xfrm>
        <a:prstGeom prst="rect">
          <a:avLst/>
        </a:prstGeom>
        <a:noFill/>
        <a:ln w="1">
          <a:noFill/>
          <a:miter lim="800000"/>
          <a:headEnd/>
          <a:tailEnd type="none" w="med" len="med"/>
        </a:ln>
        <a:effectLst/>
      </xdr:spPr>
    </xdr:pic>
    <xdr:clientData/>
  </xdr:twoCellAnchor>
  <xdr:twoCellAnchor editAs="oneCell">
    <xdr:from>
      <xdr:col>4</xdr:col>
      <xdr:colOff>533402</xdr:colOff>
      <xdr:row>55</xdr:row>
      <xdr:rowOff>66676</xdr:rowOff>
    </xdr:from>
    <xdr:to>
      <xdr:col>13</xdr:col>
      <xdr:colOff>171451</xdr:colOff>
      <xdr:row>72</xdr:row>
      <xdr:rowOff>49138</xdr:rowOff>
    </xdr:to>
    <xdr:pic>
      <xdr:nvPicPr>
        <xdr:cNvPr id="12295" name="Picture 7"/>
        <xdr:cNvPicPr>
          <a:picLocks noChangeAspect="1" noChangeArrowheads="1"/>
        </xdr:cNvPicPr>
      </xdr:nvPicPr>
      <xdr:blipFill>
        <a:blip r:embed="rId6" cstate="print"/>
        <a:srcRect/>
        <a:stretch>
          <a:fillRect/>
        </a:stretch>
      </xdr:blipFill>
      <xdr:spPr>
        <a:xfrm>
          <a:off x="5943600" y="14130020"/>
          <a:ext cx="6029325" cy="4321810"/>
        </a:xfrm>
        <a:prstGeom prst="rect">
          <a:avLst/>
        </a:prstGeom>
        <a:noFill/>
        <a:ln w="1">
          <a:noFill/>
          <a:miter lim="800000"/>
          <a:headEnd/>
          <a:tailEnd type="none" w="med" len="med"/>
        </a:ln>
        <a:effectLst/>
      </xdr:spPr>
    </xdr:pic>
    <xdr:clientData/>
  </xdr:twoCellAnchor>
  <xdr:twoCellAnchor editAs="oneCell">
    <xdr:from>
      <xdr:col>14</xdr:col>
      <xdr:colOff>0</xdr:colOff>
      <xdr:row>37</xdr:row>
      <xdr:rowOff>0</xdr:rowOff>
    </xdr:from>
    <xdr:to>
      <xdr:col>21</xdr:col>
      <xdr:colOff>495300</xdr:colOff>
      <xdr:row>54</xdr:row>
      <xdr:rowOff>123825</xdr:rowOff>
    </xdr:to>
    <xdr:pic>
      <xdr:nvPicPr>
        <xdr:cNvPr id="12296" name="Picture 8"/>
        <xdr:cNvPicPr>
          <a:picLocks noChangeAspect="1" noChangeArrowheads="1"/>
        </xdr:cNvPicPr>
      </xdr:nvPicPr>
      <xdr:blipFill>
        <a:blip r:embed="rId7" cstate="print"/>
        <a:srcRect/>
        <a:stretch>
          <a:fillRect/>
        </a:stretch>
      </xdr:blipFill>
      <xdr:spPr>
        <a:xfrm>
          <a:off x="12134850" y="9468485"/>
          <a:ext cx="6010275" cy="4463415"/>
        </a:xfrm>
        <a:prstGeom prst="rect">
          <a:avLst/>
        </a:prstGeom>
        <a:noFill/>
        <a:ln w="1">
          <a:noFill/>
          <a:miter lim="800000"/>
          <a:headEnd/>
          <a:tailEnd type="none" w="med" len="med"/>
        </a:ln>
        <a:effectLst/>
      </xdr:spPr>
    </xdr:pic>
    <xdr:clientData/>
  </xdr:twoCellAnchor>
  <xdr:twoCellAnchor editAs="oneCell">
    <xdr:from>
      <xdr:col>14</xdr:col>
      <xdr:colOff>0</xdr:colOff>
      <xdr:row>54</xdr:row>
      <xdr:rowOff>142875</xdr:rowOff>
    </xdr:from>
    <xdr:to>
      <xdr:col>21</xdr:col>
      <xdr:colOff>495300</xdr:colOff>
      <xdr:row>72</xdr:row>
      <xdr:rowOff>209550</xdr:rowOff>
    </xdr:to>
    <xdr:pic>
      <xdr:nvPicPr>
        <xdr:cNvPr id="12297" name="Picture 9"/>
        <xdr:cNvPicPr>
          <a:picLocks noChangeAspect="1" noChangeArrowheads="1"/>
        </xdr:cNvPicPr>
      </xdr:nvPicPr>
      <xdr:blipFill>
        <a:blip r:embed="rId8" cstate="print"/>
        <a:srcRect/>
        <a:stretch>
          <a:fillRect/>
        </a:stretch>
      </xdr:blipFill>
      <xdr:spPr>
        <a:xfrm>
          <a:off x="12134850" y="13950950"/>
          <a:ext cx="6010275" cy="4661535"/>
        </a:xfrm>
        <a:prstGeom prst="rect">
          <a:avLst/>
        </a:prstGeom>
        <a:noFill/>
        <a:ln w="1">
          <a:noFill/>
          <a:miter lim="800000"/>
          <a:headEnd/>
          <a:tailEnd type="none" w="med" len="med"/>
        </a:ln>
        <a:effectLst/>
      </xdr:spPr>
    </xdr:pic>
    <xdr:clientData/>
  </xdr:twoCellAnchor>
  <xdr:twoCellAnchor editAs="oneCell">
    <xdr:from>
      <xdr:col>2</xdr:col>
      <xdr:colOff>266700</xdr:colOff>
      <xdr:row>17</xdr:row>
      <xdr:rowOff>0</xdr:rowOff>
    </xdr:from>
    <xdr:to>
      <xdr:col>3</xdr:col>
      <xdr:colOff>762000</xdr:colOff>
      <xdr:row>20</xdr:row>
      <xdr:rowOff>123825</xdr:rowOff>
    </xdr:to>
    <xdr:pic>
      <xdr:nvPicPr>
        <xdr:cNvPr id="12304" name="Picture 16"/>
        <xdr:cNvPicPr>
          <a:picLocks noChangeAspect="1" noChangeArrowheads="1"/>
        </xdr:cNvPicPr>
      </xdr:nvPicPr>
      <xdr:blipFill>
        <a:blip r:embed="rId9" cstate="print"/>
        <a:srcRect/>
        <a:stretch>
          <a:fillRect/>
        </a:stretch>
      </xdr:blipFill>
      <xdr:spPr>
        <a:xfrm>
          <a:off x="3209925" y="4363085"/>
          <a:ext cx="1828800" cy="889635"/>
        </a:xfrm>
        <a:prstGeom prst="rect">
          <a:avLst/>
        </a:prstGeom>
        <a:noFill/>
        <a:ln w="1">
          <a:noFill/>
          <a:miter lim="800000"/>
          <a:headEnd/>
          <a:tailEnd type="none" w="med" len="med"/>
        </a:ln>
        <a:effectLst/>
      </xdr:spPr>
    </xdr:pic>
    <xdr:clientData/>
  </xdr:twoCellAnchor>
  <xdr:twoCellAnchor editAs="oneCell">
    <xdr:from>
      <xdr:col>0</xdr:col>
      <xdr:colOff>0</xdr:colOff>
      <xdr:row>17</xdr:row>
      <xdr:rowOff>38100</xdr:rowOff>
    </xdr:from>
    <xdr:to>
      <xdr:col>1</xdr:col>
      <xdr:colOff>596851</xdr:colOff>
      <xdr:row>21</xdr:row>
      <xdr:rowOff>219075</xdr:rowOff>
    </xdr:to>
    <xdr:pic>
      <xdr:nvPicPr>
        <xdr:cNvPr id="12305" name="Picture 17"/>
        <xdr:cNvPicPr>
          <a:picLocks noChangeAspect="1" noChangeArrowheads="1"/>
        </xdr:cNvPicPr>
      </xdr:nvPicPr>
      <xdr:blipFill>
        <a:blip r:embed="rId10" cstate="print"/>
        <a:srcRect/>
        <a:stretch>
          <a:fillRect/>
        </a:stretch>
      </xdr:blipFill>
      <xdr:spPr>
        <a:xfrm>
          <a:off x="0" y="4401185"/>
          <a:ext cx="1729740" cy="1202055"/>
        </a:xfrm>
        <a:prstGeom prst="rect">
          <a:avLst/>
        </a:prstGeom>
        <a:noFill/>
        <a:ln w="1">
          <a:noFill/>
          <a:miter lim="800000"/>
          <a:headEnd/>
          <a:tailEnd type="none" w="med" len="med"/>
        </a:ln>
        <a:effectLst/>
      </xdr:spPr>
    </xdr:pic>
    <xdr:clientData/>
  </xdr:twoCellAnchor>
  <xdr:twoCellAnchor editAs="oneCell">
    <xdr:from>
      <xdr:col>1</xdr:col>
      <xdr:colOff>295275</xdr:colOff>
      <xdr:row>17</xdr:row>
      <xdr:rowOff>66675</xdr:rowOff>
    </xdr:from>
    <xdr:to>
      <xdr:col>2</xdr:col>
      <xdr:colOff>190500</xdr:colOff>
      <xdr:row>21</xdr:row>
      <xdr:rowOff>133350</xdr:rowOff>
    </xdr:to>
    <xdr:pic>
      <xdr:nvPicPr>
        <xdr:cNvPr id="12303" name="Picture 15"/>
        <xdr:cNvPicPr>
          <a:picLocks noChangeAspect="1" noChangeArrowheads="1"/>
        </xdr:cNvPicPr>
      </xdr:nvPicPr>
      <xdr:blipFill>
        <a:blip r:embed="rId11" cstate="print"/>
        <a:srcRect/>
        <a:stretch>
          <a:fillRect/>
        </a:stretch>
      </xdr:blipFill>
      <xdr:spPr>
        <a:xfrm>
          <a:off x="1428750" y="4429760"/>
          <a:ext cx="1704975" cy="1087755"/>
        </a:xfrm>
        <a:prstGeom prst="rect">
          <a:avLst/>
        </a:prstGeom>
        <a:noFill/>
        <a:ln w="1">
          <a:noFill/>
          <a:miter lim="800000"/>
          <a:headEnd/>
          <a:tailEnd type="none" w="med" len="med"/>
        </a:ln>
        <a:effectLst/>
      </xdr:spPr>
    </xdr:pic>
    <xdr:clientData/>
  </xdr:twoCellAnchor>
  <xdr:twoCellAnchor editAs="oneCell">
    <xdr:from>
      <xdr:col>0</xdr:col>
      <xdr:colOff>0</xdr:colOff>
      <xdr:row>27</xdr:row>
      <xdr:rowOff>0</xdr:rowOff>
    </xdr:from>
    <xdr:to>
      <xdr:col>4</xdr:col>
      <xdr:colOff>428625</xdr:colOff>
      <xdr:row>47</xdr:row>
      <xdr:rowOff>161925</xdr:rowOff>
    </xdr:to>
    <xdr:pic>
      <xdr:nvPicPr>
        <xdr:cNvPr id="13314" name="Picture 2"/>
        <xdr:cNvPicPr>
          <a:picLocks noChangeAspect="1" noChangeArrowheads="1"/>
        </xdr:cNvPicPr>
      </xdr:nvPicPr>
      <xdr:blipFill>
        <a:blip r:embed="rId12" cstate="print"/>
        <a:srcRect/>
        <a:stretch>
          <a:fillRect/>
        </a:stretch>
      </xdr:blipFill>
      <xdr:spPr>
        <a:xfrm>
          <a:off x="0" y="6915785"/>
          <a:ext cx="5838825" cy="5267325"/>
        </a:xfrm>
        <a:prstGeom prst="rect">
          <a:avLst/>
        </a:prstGeom>
        <a:noFill/>
        <a:ln w="1">
          <a:noFill/>
          <a:miter lim="800000"/>
          <a:headEnd/>
          <a:tailEnd type="none" w="med" len="med"/>
        </a:ln>
        <a:effectLst/>
      </xdr:spPr>
    </xdr:pic>
    <xdr:clientData/>
  </xdr:twoCellAnchor>
  <xdr:twoCellAnchor editAs="oneCell">
    <xdr:from>
      <xdr:col>0</xdr:col>
      <xdr:colOff>0</xdr:colOff>
      <xdr:row>47</xdr:row>
      <xdr:rowOff>133350</xdr:rowOff>
    </xdr:from>
    <xdr:to>
      <xdr:col>4</xdr:col>
      <xdr:colOff>409575</xdr:colOff>
      <xdr:row>69</xdr:row>
      <xdr:rowOff>57150</xdr:rowOff>
    </xdr:to>
    <xdr:pic>
      <xdr:nvPicPr>
        <xdr:cNvPr id="13315" name="Picture 3"/>
        <xdr:cNvPicPr>
          <a:picLocks noChangeAspect="1" noChangeArrowheads="1"/>
        </xdr:cNvPicPr>
      </xdr:nvPicPr>
      <xdr:blipFill>
        <a:blip r:embed="rId13" cstate="print"/>
        <a:srcRect/>
        <a:stretch>
          <a:fillRect/>
        </a:stretch>
      </xdr:blipFill>
      <xdr:spPr>
        <a:xfrm>
          <a:off x="0" y="12154535"/>
          <a:ext cx="5819775" cy="5539740"/>
        </a:xfrm>
        <a:prstGeom prst="rect">
          <a:avLst/>
        </a:prstGeom>
        <a:noFill/>
        <a:ln w="1">
          <a:noFill/>
          <a:miter lim="800000"/>
          <a:headEnd/>
          <a:tailEnd type="none" w="med" len="med"/>
        </a:ln>
        <a:effectLst/>
      </xdr:spPr>
    </xdr:pic>
    <xdr:clientData/>
  </xdr:twoCellAnchor>
  <xdr:twoCellAnchor editAs="oneCell">
    <xdr:from>
      <xdr:col>0</xdr:col>
      <xdr:colOff>0</xdr:colOff>
      <xdr:row>69</xdr:row>
      <xdr:rowOff>0</xdr:rowOff>
    </xdr:from>
    <xdr:to>
      <xdr:col>4</xdr:col>
      <xdr:colOff>419100</xdr:colOff>
      <xdr:row>90</xdr:row>
      <xdr:rowOff>161925</xdr:rowOff>
    </xdr:to>
    <xdr:pic>
      <xdr:nvPicPr>
        <xdr:cNvPr id="13316" name="Picture 4"/>
        <xdr:cNvPicPr>
          <a:picLocks noChangeAspect="1" noChangeArrowheads="1"/>
        </xdr:cNvPicPr>
      </xdr:nvPicPr>
      <xdr:blipFill>
        <a:blip r:embed="rId14" cstate="print"/>
        <a:srcRect/>
        <a:stretch>
          <a:fillRect/>
        </a:stretch>
      </xdr:blipFill>
      <xdr:spPr>
        <a:xfrm>
          <a:off x="0" y="17637125"/>
          <a:ext cx="5829300" cy="5522595"/>
        </a:xfrm>
        <a:prstGeom prst="rect">
          <a:avLst/>
        </a:prstGeom>
        <a:noFill/>
        <a:ln w="1">
          <a:noFill/>
          <a:miter lim="800000"/>
          <a:headEnd/>
          <a:tailEnd type="none" w="med" len="med"/>
        </a:ln>
        <a:effectLst/>
      </xdr:spPr>
    </xdr:pic>
    <xdr:clientData/>
  </xdr:twoCellAnchor>
  <xdr:twoCellAnchor editAs="oneCell">
    <xdr:from>
      <xdr:col>0</xdr:col>
      <xdr:colOff>0</xdr:colOff>
      <xdr:row>90</xdr:row>
      <xdr:rowOff>142875</xdr:rowOff>
    </xdr:from>
    <xdr:to>
      <xdr:col>4</xdr:col>
      <xdr:colOff>400050</xdr:colOff>
      <xdr:row>105</xdr:row>
      <xdr:rowOff>200025</xdr:rowOff>
    </xdr:to>
    <xdr:pic>
      <xdr:nvPicPr>
        <xdr:cNvPr id="13317" name="Picture 5"/>
        <xdr:cNvPicPr>
          <a:picLocks noChangeAspect="1" noChangeArrowheads="1"/>
        </xdr:cNvPicPr>
      </xdr:nvPicPr>
      <xdr:blipFill>
        <a:blip r:embed="rId15" cstate="print"/>
        <a:srcRect/>
        <a:stretch>
          <a:fillRect/>
        </a:stretch>
      </xdr:blipFill>
      <xdr:spPr>
        <a:xfrm>
          <a:off x="0" y="23140670"/>
          <a:ext cx="5810250" cy="3886200"/>
        </a:xfrm>
        <a:prstGeom prst="rect">
          <a:avLst/>
        </a:prstGeom>
        <a:noFill/>
        <a:ln w="1">
          <a:noFill/>
          <a:miter lim="800000"/>
          <a:headEnd/>
          <a:tailEnd type="none" w="med" len="med"/>
        </a:ln>
        <a:effectLst/>
      </xdr:spPr>
    </xdr:pic>
    <xdr:clientData/>
  </xdr:twoCellAnchor>
  <xdr:twoCellAnchor editAs="oneCell">
    <xdr:from>
      <xdr:col>0</xdr:col>
      <xdr:colOff>0</xdr:colOff>
      <xdr:row>106</xdr:row>
      <xdr:rowOff>0</xdr:rowOff>
    </xdr:from>
    <xdr:to>
      <xdr:col>4</xdr:col>
      <xdr:colOff>419100</xdr:colOff>
      <xdr:row>121</xdr:row>
      <xdr:rowOff>190500</xdr:rowOff>
    </xdr:to>
    <xdr:pic>
      <xdr:nvPicPr>
        <xdr:cNvPr id="13318" name="Picture 6"/>
        <xdr:cNvPicPr>
          <a:picLocks noChangeAspect="1" noChangeArrowheads="1"/>
        </xdr:cNvPicPr>
      </xdr:nvPicPr>
      <xdr:blipFill>
        <a:blip r:embed="rId16" cstate="print"/>
        <a:srcRect/>
        <a:stretch>
          <a:fillRect/>
        </a:stretch>
      </xdr:blipFill>
      <xdr:spPr>
        <a:xfrm>
          <a:off x="0" y="27082115"/>
          <a:ext cx="5829300" cy="401955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8" name="五边形 17">
          <a:hlinkClick xmlns:r="http://schemas.openxmlformats.org/officeDocument/2006/relationships" r:id="rId17"/>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1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1</xdr:row>
      <xdr:rowOff>0</xdr:rowOff>
    </xdr:from>
    <xdr:to>
      <xdr:col>8</xdr:col>
      <xdr:colOff>209550</xdr:colOff>
      <xdr:row>5</xdr:row>
      <xdr:rowOff>152400</xdr:rowOff>
    </xdr:to>
    <xdr:pic>
      <xdr:nvPicPr>
        <xdr:cNvPr id="15362" name="Picture 2"/>
        <xdr:cNvPicPr>
          <a:picLocks noChangeAspect="1" noChangeArrowheads="1"/>
        </xdr:cNvPicPr>
      </xdr:nvPicPr>
      <xdr:blipFill>
        <a:blip r:embed="rId1" cstate="print"/>
        <a:srcRect/>
        <a:stretch>
          <a:fillRect/>
        </a:stretch>
      </xdr:blipFill>
      <xdr:spPr>
        <a:xfrm>
          <a:off x="5105400" y="278765"/>
          <a:ext cx="2638425" cy="1173480"/>
        </a:xfrm>
        <a:prstGeom prst="rect">
          <a:avLst/>
        </a:prstGeom>
        <a:noFill/>
        <a:ln w="1">
          <a:noFill/>
          <a:miter lim="800000"/>
          <a:headEnd/>
          <a:tailEnd type="none" w="med" len="med"/>
        </a:ln>
        <a:effectLst/>
      </xdr:spPr>
    </xdr:pic>
    <xdr:clientData/>
  </xdr:twoCellAnchor>
  <xdr:twoCellAnchor editAs="oneCell">
    <xdr:from>
      <xdr:col>9</xdr:col>
      <xdr:colOff>276224</xdr:colOff>
      <xdr:row>0</xdr:row>
      <xdr:rowOff>0</xdr:rowOff>
    </xdr:from>
    <xdr:to>
      <xdr:col>12</xdr:col>
      <xdr:colOff>447675</xdr:colOff>
      <xdr:row>6</xdr:row>
      <xdr:rowOff>210939</xdr:rowOff>
    </xdr:to>
    <xdr:pic>
      <xdr:nvPicPr>
        <xdr:cNvPr id="15363" name="Picture 3"/>
        <xdr:cNvPicPr>
          <a:picLocks noChangeAspect="1" noChangeArrowheads="1"/>
        </xdr:cNvPicPr>
      </xdr:nvPicPr>
      <xdr:blipFill>
        <a:blip r:embed="rId2" cstate="print"/>
        <a:srcRect/>
        <a:stretch>
          <a:fillRect/>
        </a:stretch>
      </xdr:blipFill>
      <xdr:spPr>
        <a:xfrm>
          <a:off x="8619490" y="0"/>
          <a:ext cx="2239010" cy="1765935"/>
        </a:xfrm>
        <a:prstGeom prst="rect">
          <a:avLst/>
        </a:prstGeom>
        <a:noFill/>
        <a:ln w="1">
          <a:noFill/>
          <a:miter lim="800000"/>
          <a:headEnd/>
          <a:tailEnd type="none" w="med" len="med"/>
        </a:ln>
        <a:effectLst/>
      </xdr:spPr>
    </xdr:pic>
    <xdr:clientData/>
  </xdr:twoCellAnchor>
  <xdr:twoCellAnchor editAs="oneCell">
    <xdr:from>
      <xdr:col>5</xdr:col>
      <xdr:colOff>0</xdr:colOff>
      <xdr:row>5</xdr:row>
      <xdr:rowOff>152400</xdr:rowOff>
    </xdr:from>
    <xdr:to>
      <xdr:col>9</xdr:col>
      <xdr:colOff>166396</xdr:colOff>
      <xdr:row>6</xdr:row>
      <xdr:rowOff>209550</xdr:rowOff>
    </xdr:to>
    <xdr:pic>
      <xdr:nvPicPr>
        <xdr:cNvPr id="15364" name="Picture 4"/>
        <xdr:cNvPicPr>
          <a:picLocks noChangeAspect="1" noChangeArrowheads="1"/>
        </xdr:cNvPicPr>
      </xdr:nvPicPr>
      <xdr:blipFill>
        <a:blip r:embed="rId3" cstate="print"/>
        <a:srcRect/>
        <a:stretch>
          <a:fillRect/>
        </a:stretch>
      </xdr:blipFill>
      <xdr:spPr>
        <a:xfrm>
          <a:off x="5105400" y="1452245"/>
          <a:ext cx="3404870" cy="312420"/>
        </a:xfrm>
        <a:prstGeom prst="rect">
          <a:avLst/>
        </a:prstGeom>
        <a:noFill/>
        <a:ln w="1">
          <a:noFill/>
          <a:miter lim="800000"/>
          <a:headEnd/>
          <a:tailEnd type="none" w="med" len="med"/>
        </a:ln>
        <a:effectLst/>
      </xdr:spPr>
    </xdr:pic>
    <xdr:clientData/>
  </xdr:twoCellAnchor>
  <xdr:twoCellAnchor editAs="oneCell">
    <xdr:from>
      <xdr:col>5</xdr:col>
      <xdr:colOff>0</xdr:colOff>
      <xdr:row>8</xdr:row>
      <xdr:rowOff>0</xdr:rowOff>
    </xdr:from>
    <xdr:to>
      <xdr:col>15</xdr:col>
      <xdr:colOff>339560</xdr:colOff>
      <xdr:row>20</xdr:row>
      <xdr:rowOff>200025</xdr:rowOff>
    </xdr:to>
    <xdr:pic>
      <xdr:nvPicPr>
        <xdr:cNvPr id="15365" name="Picture 5"/>
        <xdr:cNvPicPr>
          <a:picLocks noChangeAspect="1" noChangeArrowheads="1"/>
        </xdr:cNvPicPr>
      </xdr:nvPicPr>
      <xdr:blipFill>
        <a:blip r:embed="rId4" cstate="print"/>
        <a:srcRect/>
        <a:stretch>
          <a:fillRect/>
        </a:stretch>
      </xdr:blipFill>
      <xdr:spPr>
        <a:xfrm>
          <a:off x="5105400" y="2065655"/>
          <a:ext cx="7482840" cy="3263265"/>
        </a:xfrm>
        <a:prstGeom prst="rect">
          <a:avLst/>
        </a:prstGeom>
        <a:noFill/>
        <a:ln w="1">
          <a:noFill/>
          <a:miter lim="800000"/>
          <a:headEnd/>
          <a:tailEnd type="none" w="med" len="med"/>
        </a:ln>
        <a:effectLst/>
      </xdr:spPr>
    </xdr:pic>
    <xdr:clientData/>
  </xdr:twoCellAnchor>
  <xdr:twoCellAnchor editAs="oneCell">
    <xdr:from>
      <xdr:col>5</xdr:col>
      <xdr:colOff>9524</xdr:colOff>
      <xdr:row>22</xdr:row>
      <xdr:rowOff>9525</xdr:rowOff>
    </xdr:from>
    <xdr:to>
      <xdr:col>15</xdr:col>
      <xdr:colOff>368066</xdr:colOff>
      <xdr:row>42</xdr:row>
      <xdr:rowOff>95250</xdr:rowOff>
    </xdr:to>
    <xdr:pic>
      <xdr:nvPicPr>
        <xdr:cNvPr id="12289" name="Picture 1"/>
        <xdr:cNvPicPr>
          <a:picLocks noChangeAspect="1" noChangeArrowheads="1"/>
        </xdr:cNvPicPr>
      </xdr:nvPicPr>
      <xdr:blipFill>
        <a:blip r:embed="rId5" cstate="print"/>
        <a:srcRect/>
        <a:stretch>
          <a:fillRect/>
        </a:stretch>
      </xdr:blipFill>
      <xdr:spPr>
        <a:xfrm>
          <a:off x="5114290" y="5648960"/>
          <a:ext cx="7502525" cy="5191125"/>
        </a:xfrm>
        <a:prstGeom prst="rect">
          <a:avLst/>
        </a:prstGeom>
        <a:noFill/>
        <a:ln w="1">
          <a:noFill/>
          <a:miter lim="800000"/>
          <a:headEnd/>
          <a:tailEnd type="none" w="med" len="med"/>
        </a:ln>
        <a:effectLst/>
      </xdr:spPr>
    </xdr:pic>
    <xdr:clientData/>
  </xdr:twoCellAnchor>
  <xdr:twoCellAnchor editAs="oneCell">
    <xdr:from>
      <xdr:col>0</xdr:col>
      <xdr:colOff>0</xdr:colOff>
      <xdr:row>48</xdr:row>
      <xdr:rowOff>9525</xdr:rowOff>
    </xdr:from>
    <xdr:to>
      <xdr:col>2</xdr:col>
      <xdr:colOff>800100</xdr:colOff>
      <xdr:row>77</xdr:row>
      <xdr:rowOff>0</xdr:rowOff>
    </xdr:to>
    <xdr:pic>
      <xdr:nvPicPr>
        <xdr:cNvPr id="15361" name="Picture 1"/>
        <xdr:cNvPicPr>
          <a:picLocks noChangeAspect="1" noChangeArrowheads="1"/>
        </xdr:cNvPicPr>
      </xdr:nvPicPr>
      <xdr:blipFill>
        <a:blip r:embed="rId6" cstate="print"/>
        <a:srcRect/>
        <a:stretch>
          <a:fillRect/>
        </a:stretch>
      </xdr:blipFill>
      <xdr:spPr>
        <a:xfrm>
          <a:off x="0" y="12285980"/>
          <a:ext cx="3343275" cy="7393305"/>
        </a:xfrm>
        <a:prstGeom prst="rect">
          <a:avLst/>
        </a:prstGeom>
        <a:noFill/>
        <a:ln w="1">
          <a:noFill/>
          <a:miter lim="800000"/>
          <a:headEnd/>
          <a:tailEnd type="none" w="med" len="med"/>
        </a:ln>
        <a:effectLst/>
      </xdr:spPr>
    </xdr:pic>
    <xdr:clientData/>
  </xdr:twoCellAnchor>
  <xdr:twoCellAnchor editAs="oneCell">
    <xdr:from>
      <xdr:col>2</xdr:col>
      <xdr:colOff>762000</xdr:colOff>
      <xdr:row>48</xdr:row>
      <xdr:rowOff>28575</xdr:rowOff>
    </xdr:from>
    <xdr:to>
      <xdr:col>3</xdr:col>
      <xdr:colOff>1238250</xdr:colOff>
      <xdr:row>57</xdr:row>
      <xdr:rowOff>0</xdr:rowOff>
    </xdr:to>
    <xdr:pic>
      <xdr:nvPicPr>
        <xdr:cNvPr id="2" name="Picture 2"/>
        <xdr:cNvPicPr>
          <a:picLocks noChangeAspect="1" noChangeArrowheads="1"/>
        </xdr:cNvPicPr>
      </xdr:nvPicPr>
      <xdr:blipFill>
        <a:blip r:embed="rId7" cstate="print"/>
        <a:srcRect/>
        <a:stretch>
          <a:fillRect/>
        </a:stretch>
      </xdr:blipFill>
      <xdr:spPr>
        <a:xfrm>
          <a:off x="3305175" y="12305030"/>
          <a:ext cx="1323975" cy="2268855"/>
        </a:xfrm>
        <a:prstGeom prst="rect">
          <a:avLst/>
        </a:prstGeom>
        <a:noFill/>
        <a:ln w="1">
          <a:noFill/>
          <a:miter lim="800000"/>
          <a:headEnd/>
          <a:tailEnd type="none" w="med" len="med"/>
        </a:ln>
        <a:effectLst/>
      </xdr:spPr>
    </xdr:pic>
    <xdr:clientData/>
  </xdr:twoCellAnchor>
  <xdr:twoCellAnchor editAs="oneCell">
    <xdr:from>
      <xdr:col>5</xdr:col>
      <xdr:colOff>0</xdr:colOff>
      <xdr:row>44</xdr:row>
      <xdr:rowOff>0</xdr:rowOff>
    </xdr:from>
    <xdr:to>
      <xdr:col>15</xdr:col>
      <xdr:colOff>762000</xdr:colOff>
      <xdr:row>56</xdr:row>
      <xdr:rowOff>104775</xdr:rowOff>
    </xdr:to>
    <xdr:pic>
      <xdr:nvPicPr>
        <xdr:cNvPr id="15366" name="Picture 6"/>
        <xdr:cNvPicPr>
          <a:picLocks noChangeAspect="1" noChangeArrowheads="1"/>
        </xdr:cNvPicPr>
      </xdr:nvPicPr>
      <xdr:blipFill>
        <a:blip r:embed="rId8" cstate="print"/>
        <a:srcRect/>
        <a:stretch>
          <a:fillRect/>
        </a:stretch>
      </xdr:blipFill>
      <xdr:spPr>
        <a:xfrm>
          <a:off x="5105400" y="11255375"/>
          <a:ext cx="7905750" cy="3168015"/>
        </a:xfrm>
        <a:prstGeom prst="rect">
          <a:avLst/>
        </a:prstGeom>
        <a:noFill/>
        <a:ln w="1">
          <a:noFill/>
          <a:miter lim="800000"/>
          <a:headEnd/>
          <a:tailEnd type="none" w="med" len="med"/>
        </a:ln>
        <a:effectLst/>
      </xdr:spPr>
    </xdr:pic>
    <xdr:clientData/>
  </xdr:twoCellAnchor>
  <xdr:twoCellAnchor>
    <xdr:from>
      <xdr:col>9</xdr:col>
      <xdr:colOff>457200</xdr:colOff>
      <xdr:row>44</xdr:row>
      <xdr:rowOff>180975</xdr:rowOff>
    </xdr:from>
    <xdr:to>
      <xdr:col>10</xdr:col>
      <xdr:colOff>504825</xdr:colOff>
      <xdr:row>56</xdr:row>
      <xdr:rowOff>66675</xdr:rowOff>
    </xdr:to>
    <xdr:sp>
      <xdr:nvSpPr>
        <xdr:cNvPr id="13" name="矩形 12"/>
        <xdr:cNvSpPr/>
      </xdr:nvSpPr>
      <xdr:spPr>
        <a:xfrm>
          <a:off x="8801100" y="11436350"/>
          <a:ext cx="857250" cy="2948940"/>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editAs="oneCell">
    <xdr:from>
      <xdr:col>15</xdr:col>
      <xdr:colOff>771525</xdr:colOff>
      <xdr:row>44</xdr:row>
      <xdr:rowOff>0</xdr:rowOff>
    </xdr:from>
    <xdr:to>
      <xdr:col>18</xdr:col>
      <xdr:colOff>209550</xdr:colOff>
      <xdr:row>50</xdr:row>
      <xdr:rowOff>47625</xdr:rowOff>
    </xdr:to>
    <xdr:pic>
      <xdr:nvPicPr>
        <xdr:cNvPr id="15367" name="Picture 7"/>
        <xdr:cNvPicPr>
          <a:picLocks noChangeAspect="1" noChangeArrowheads="1"/>
        </xdr:cNvPicPr>
      </xdr:nvPicPr>
      <xdr:blipFill>
        <a:blip r:embed="rId9" cstate="print"/>
        <a:srcRect/>
        <a:stretch>
          <a:fillRect/>
        </a:stretch>
      </xdr:blipFill>
      <xdr:spPr>
        <a:xfrm>
          <a:off x="13020675" y="11255375"/>
          <a:ext cx="1866900" cy="1579245"/>
        </a:xfrm>
        <a:prstGeom prst="rect">
          <a:avLst/>
        </a:prstGeom>
        <a:noFill/>
        <a:ln w="1">
          <a:noFill/>
          <a:miter lim="800000"/>
          <a:headEnd/>
          <a:tailEnd type="none" w="med" len="med"/>
        </a:ln>
        <a:effectLst/>
      </xdr:spPr>
    </xdr:pic>
    <xdr:clientData/>
  </xdr:twoCellAnchor>
  <xdr:twoCellAnchor editAs="oneCell">
    <xdr:from>
      <xdr:col>5</xdr:col>
      <xdr:colOff>0</xdr:colOff>
      <xdr:row>58</xdr:row>
      <xdr:rowOff>0</xdr:rowOff>
    </xdr:from>
    <xdr:to>
      <xdr:col>10</xdr:col>
      <xdr:colOff>619125</xdr:colOff>
      <xdr:row>70</xdr:row>
      <xdr:rowOff>85725</xdr:rowOff>
    </xdr:to>
    <xdr:pic>
      <xdr:nvPicPr>
        <xdr:cNvPr id="15368" name="Picture 8"/>
        <xdr:cNvPicPr>
          <a:picLocks noChangeAspect="1" noChangeArrowheads="1"/>
        </xdr:cNvPicPr>
      </xdr:nvPicPr>
      <xdr:blipFill>
        <a:blip r:embed="rId10" cstate="print"/>
        <a:srcRect/>
        <a:stretch>
          <a:fillRect/>
        </a:stretch>
      </xdr:blipFill>
      <xdr:spPr>
        <a:xfrm>
          <a:off x="5105400" y="14829155"/>
          <a:ext cx="4667250" cy="3148965"/>
        </a:xfrm>
        <a:prstGeom prst="rect">
          <a:avLst/>
        </a:prstGeom>
        <a:noFill/>
        <a:ln w="1">
          <a:noFill/>
          <a:miter lim="800000"/>
          <a:headEnd/>
          <a:tailEnd type="none" w="med" len="med"/>
        </a:ln>
        <a:effectLst/>
      </xdr:spPr>
    </xdr:pic>
    <xdr:clientData/>
  </xdr:twoCellAnchor>
  <xdr:twoCellAnchor editAs="oneCell">
    <xdr:from>
      <xdr:col>11</xdr:col>
      <xdr:colOff>0</xdr:colOff>
      <xdr:row>58</xdr:row>
      <xdr:rowOff>0</xdr:rowOff>
    </xdr:from>
    <xdr:to>
      <xdr:col>12</xdr:col>
      <xdr:colOff>238125</xdr:colOff>
      <xdr:row>64</xdr:row>
      <xdr:rowOff>123825</xdr:rowOff>
    </xdr:to>
    <xdr:pic>
      <xdr:nvPicPr>
        <xdr:cNvPr id="15369" name="Picture 9"/>
        <xdr:cNvPicPr>
          <a:picLocks noChangeAspect="1" noChangeArrowheads="1"/>
        </xdr:cNvPicPr>
      </xdr:nvPicPr>
      <xdr:blipFill>
        <a:blip r:embed="rId11" cstate="print"/>
        <a:srcRect/>
        <a:stretch>
          <a:fillRect/>
        </a:stretch>
      </xdr:blipFill>
      <xdr:spPr>
        <a:xfrm>
          <a:off x="9829800" y="14829155"/>
          <a:ext cx="819150" cy="1655445"/>
        </a:xfrm>
        <a:prstGeom prst="rect">
          <a:avLst/>
        </a:prstGeom>
        <a:noFill/>
        <a:ln w="1">
          <a:noFill/>
          <a:miter lim="800000"/>
          <a:headEnd/>
          <a:tailEnd type="none" w="med" len="med"/>
        </a:ln>
        <a:effectLst/>
      </xdr:spPr>
    </xdr:pic>
    <xdr:clientData/>
  </xdr:twoCellAnchor>
  <xdr:twoCellAnchor editAs="oneCell">
    <xdr:from>
      <xdr:col>5</xdr:col>
      <xdr:colOff>28575</xdr:colOff>
      <xdr:row>56</xdr:row>
      <xdr:rowOff>76200</xdr:rowOff>
    </xdr:from>
    <xdr:to>
      <xdr:col>8</xdr:col>
      <xdr:colOff>76200</xdr:colOff>
      <xdr:row>57</xdr:row>
      <xdr:rowOff>9525</xdr:rowOff>
    </xdr:to>
    <xdr:pic>
      <xdr:nvPicPr>
        <xdr:cNvPr id="15372" name="Picture 12"/>
        <xdr:cNvPicPr>
          <a:picLocks noChangeAspect="1" noChangeArrowheads="1"/>
        </xdr:cNvPicPr>
      </xdr:nvPicPr>
      <xdr:blipFill>
        <a:blip r:embed="rId12" cstate="print"/>
        <a:srcRect/>
        <a:stretch>
          <a:fillRect/>
        </a:stretch>
      </xdr:blipFill>
      <xdr:spPr>
        <a:xfrm>
          <a:off x="5133975" y="14394815"/>
          <a:ext cx="2476500" cy="188595"/>
        </a:xfrm>
        <a:prstGeom prst="rect">
          <a:avLst/>
        </a:prstGeom>
        <a:noFill/>
        <a:ln w="1">
          <a:noFill/>
          <a:miter lim="800000"/>
          <a:headEnd/>
          <a:tailEnd type="none" w="med" len="med"/>
        </a:ln>
        <a:effectLst/>
      </xdr:spPr>
    </xdr:pic>
    <xdr:clientData/>
  </xdr:twoCellAnchor>
  <xdr:twoCellAnchor editAs="oneCell">
    <xdr:from>
      <xdr:col>5</xdr:col>
      <xdr:colOff>28575</xdr:colOff>
      <xdr:row>70</xdr:row>
      <xdr:rowOff>57150</xdr:rowOff>
    </xdr:from>
    <xdr:to>
      <xdr:col>10</xdr:col>
      <xdr:colOff>152400</xdr:colOff>
      <xdr:row>71</xdr:row>
      <xdr:rowOff>19050</xdr:rowOff>
    </xdr:to>
    <xdr:pic>
      <xdr:nvPicPr>
        <xdr:cNvPr id="15373" name="Picture 13"/>
        <xdr:cNvPicPr>
          <a:picLocks noChangeAspect="1" noChangeArrowheads="1"/>
        </xdr:cNvPicPr>
      </xdr:nvPicPr>
      <xdr:blipFill>
        <a:blip r:embed="rId13" cstate="print"/>
        <a:srcRect/>
        <a:stretch>
          <a:fillRect/>
        </a:stretch>
      </xdr:blipFill>
      <xdr:spPr>
        <a:xfrm>
          <a:off x="5133975" y="17949545"/>
          <a:ext cx="4171950" cy="21717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6" name="五边形 15">
          <a:hlinkClick xmlns:r="http://schemas.openxmlformats.org/officeDocument/2006/relationships" r:id="rId14"/>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0</xdr:col>
      <xdr:colOff>9525</xdr:colOff>
      <xdr:row>0</xdr:row>
      <xdr:rowOff>28575</xdr:rowOff>
    </xdr:from>
    <xdr:to>
      <xdr:col>0</xdr:col>
      <xdr:colOff>819151</xdr:colOff>
      <xdr:row>0</xdr:row>
      <xdr:rowOff>247650</xdr:rowOff>
    </xdr:to>
    <xdr:sp>
      <xdr:nvSpPr>
        <xdr:cNvPr id="2" name="五边形 1">
          <a:hlinkClick xmlns:r="http://schemas.openxmlformats.org/officeDocument/2006/relationships" r:id="rId1"/>
        </xdr:cNvPr>
        <xdr:cNvSpPr/>
      </xdr:nvSpPr>
      <xdr:spPr>
        <a:xfrm flipH="1">
          <a:off x="9525" y="28575"/>
          <a:ext cx="809625" cy="21907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0.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9526</xdr:colOff>
      <xdr:row>1</xdr:row>
      <xdr:rowOff>9525</xdr:rowOff>
    </xdr:from>
    <xdr:to>
      <xdr:col>8</xdr:col>
      <xdr:colOff>285751</xdr:colOff>
      <xdr:row>6</xdr:row>
      <xdr:rowOff>18996</xdr:rowOff>
    </xdr:to>
    <xdr:pic>
      <xdr:nvPicPr>
        <xdr:cNvPr id="12289" name="Picture 1"/>
        <xdr:cNvPicPr>
          <a:picLocks noChangeAspect="1" noChangeArrowheads="1"/>
        </xdr:cNvPicPr>
      </xdr:nvPicPr>
      <xdr:blipFill>
        <a:blip r:embed="rId1" cstate="print"/>
        <a:srcRect/>
        <a:stretch>
          <a:fillRect/>
        </a:stretch>
      </xdr:blipFill>
      <xdr:spPr>
        <a:xfrm>
          <a:off x="5324475" y="288290"/>
          <a:ext cx="2705100" cy="1285240"/>
        </a:xfrm>
        <a:prstGeom prst="rect">
          <a:avLst/>
        </a:prstGeom>
        <a:noFill/>
        <a:ln w="1">
          <a:noFill/>
          <a:miter lim="800000"/>
          <a:headEnd/>
          <a:tailEnd type="none" w="med" len="med"/>
        </a:ln>
        <a:effectLst/>
      </xdr:spPr>
    </xdr:pic>
    <xdr:clientData/>
  </xdr:twoCellAnchor>
  <xdr:twoCellAnchor editAs="oneCell">
    <xdr:from>
      <xdr:col>5</xdr:col>
      <xdr:colOff>9525</xdr:colOff>
      <xdr:row>8</xdr:row>
      <xdr:rowOff>9525</xdr:rowOff>
    </xdr:from>
    <xdr:to>
      <xdr:col>11</xdr:col>
      <xdr:colOff>371475</xdr:colOff>
      <xdr:row>18</xdr:row>
      <xdr:rowOff>28575</xdr:rowOff>
    </xdr:to>
    <xdr:pic>
      <xdr:nvPicPr>
        <xdr:cNvPr id="12291" name="Picture 3"/>
        <xdr:cNvPicPr>
          <a:picLocks noChangeAspect="1" noChangeArrowheads="1"/>
        </xdr:cNvPicPr>
      </xdr:nvPicPr>
      <xdr:blipFill>
        <a:blip r:embed="rId2" cstate="print"/>
        <a:srcRect/>
        <a:stretch>
          <a:fillRect/>
        </a:stretch>
      </xdr:blipFill>
      <xdr:spPr>
        <a:xfrm>
          <a:off x="5324475" y="2075180"/>
          <a:ext cx="5086350" cy="2571750"/>
        </a:xfrm>
        <a:prstGeom prst="rect">
          <a:avLst/>
        </a:prstGeom>
        <a:noFill/>
        <a:ln w="1">
          <a:noFill/>
          <a:miter lim="800000"/>
          <a:headEnd/>
          <a:tailEnd type="none" w="med" len="med"/>
        </a:ln>
        <a:effectLst/>
      </xdr:spPr>
    </xdr:pic>
    <xdr:clientData/>
  </xdr:twoCellAnchor>
  <xdr:twoCellAnchor>
    <xdr:from>
      <xdr:col>6</xdr:col>
      <xdr:colOff>695325</xdr:colOff>
      <xdr:row>11</xdr:row>
      <xdr:rowOff>152400</xdr:rowOff>
    </xdr:from>
    <xdr:to>
      <xdr:col>8</xdr:col>
      <xdr:colOff>419100</xdr:colOff>
      <xdr:row>11</xdr:row>
      <xdr:rowOff>152400</xdr:rowOff>
    </xdr:to>
    <xdr:cxnSp>
      <xdr:nvCxnSpPr>
        <xdr:cNvPr id="26" name="直接连接符 25"/>
        <xdr:cNvCxnSpPr/>
      </xdr:nvCxnSpPr>
      <xdr:spPr>
        <a:xfrm>
          <a:off x="6819900" y="2983865"/>
          <a:ext cx="1343025" cy="0"/>
        </a:xfrm>
        <a:prstGeom prst="line">
          <a:avLst/>
        </a:prstGeom>
        <a:ln w="19050"/>
      </xdr:spPr>
      <xdr:style>
        <a:lnRef idx="1">
          <a:schemeClr val="accent2"/>
        </a:lnRef>
        <a:fillRef idx="0">
          <a:schemeClr val="accent2"/>
        </a:fillRef>
        <a:effectRef idx="0">
          <a:schemeClr val="accent2"/>
        </a:effectRef>
        <a:fontRef idx="minor">
          <a:schemeClr val="tx1"/>
        </a:fontRef>
      </xdr:style>
    </xdr:cxnSp>
    <xdr:clientData/>
  </xdr:twoCellAnchor>
  <xdr:oneCellAnchor>
    <xdr:from>
      <xdr:col>8</xdr:col>
      <xdr:colOff>19050</xdr:colOff>
      <xdr:row>18</xdr:row>
      <xdr:rowOff>66675</xdr:rowOff>
    </xdr:from>
    <xdr:ext cx="762000" cy="342900"/>
    <xdr:sp>
      <xdr:nvSpPr>
        <xdr:cNvPr id="30" name="TextBox 29"/>
        <xdr:cNvSpPr txBox="1"/>
      </xdr:nvSpPr>
      <xdr:spPr>
        <a:xfrm>
          <a:off x="7762875" y="4685030"/>
          <a:ext cx="762000" cy="342900"/>
        </a:xfrm>
        <a:prstGeom prst="rect">
          <a:avLst/>
        </a:prstGeom>
        <a:ln w="19050"/>
      </xdr:spPr>
      <xdr:style>
        <a:lnRef idx="2">
          <a:schemeClr val="accent2"/>
        </a:lnRef>
        <a:fillRef idx="1">
          <a:schemeClr val="lt1"/>
        </a:fillRef>
        <a:effectRef idx="0">
          <a:schemeClr val="accent2"/>
        </a:effectRef>
        <a:fontRef idx="minor">
          <a:schemeClr val="dk1"/>
        </a:fontRef>
      </xdr:style>
      <xdr:txBody>
        <a:bodyPr vertOverflow="clip" wrap="square" rtlCol="0" anchor="t">
          <a:noAutofit/>
        </a:bodyPr>
        <a:lstStyle/>
        <a:p>
          <a:r>
            <a:rPr lang="en-US" altLang="zh-CN" sz="1400">
              <a:solidFill>
                <a:srgbClr val="C00000"/>
              </a:solidFill>
            </a:rPr>
            <a:t>T=x.xT</a:t>
          </a:r>
          <a:r>
            <a:rPr lang="en-US" altLang="zh-CN" sz="1100">
              <a:solidFill>
                <a:srgbClr val="C00000"/>
              </a:solidFill>
            </a:rPr>
            <a:t>1</a:t>
          </a:r>
          <a:endParaRPr lang="zh-CN" altLang="en-US" sz="1100">
            <a:solidFill>
              <a:srgbClr val="C00000"/>
            </a:solidFill>
          </a:endParaRPr>
        </a:p>
      </xdr:txBody>
    </xdr:sp>
    <xdr:clientData/>
  </xdr:oneCellAnchor>
  <xdr:twoCellAnchor>
    <xdr:from>
      <xdr:col>2</xdr:col>
      <xdr:colOff>619125</xdr:colOff>
      <xdr:row>15</xdr:row>
      <xdr:rowOff>171450</xdr:rowOff>
    </xdr:from>
    <xdr:to>
      <xdr:col>7</xdr:col>
      <xdr:colOff>790575</xdr:colOff>
      <xdr:row>18</xdr:row>
      <xdr:rowOff>171450</xdr:rowOff>
    </xdr:to>
    <xdr:cxnSp>
      <xdr:nvCxnSpPr>
        <xdr:cNvPr id="33" name="直接箭头连接符 32"/>
        <xdr:cNvCxnSpPr/>
      </xdr:nvCxnSpPr>
      <xdr:spPr>
        <a:xfrm>
          <a:off x="3162300" y="4023995"/>
          <a:ext cx="4562475" cy="76581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57149</xdr:colOff>
      <xdr:row>11</xdr:row>
      <xdr:rowOff>0</xdr:rowOff>
    </xdr:from>
    <xdr:ext cx="714375" cy="342900"/>
    <xdr:sp>
      <xdr:nvSpPr>
        <xdr:cNvPr id="36" name="TextBox 35"/>
        <xdr:cNvSpPr txBox="1"/>
      </xdr:nvSpPr>
      <xdr:spPr>
        <a:xfrm>
          <a:off x="6181090" y="2831465"/>
          <a:ext cx="714375" cy="342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square" rtlCol="0" anchor="t">
          <a:noAutofit/>
        </a:bodyPr>
        <a:lstStyle/>
        <a:p>
          <a:r>
            <a:rPr lang="en-US" altLang="zh-CN" sz="1400">
              <a:solidFill>
                <a:srgbClr val="C00000"/>
              </a:solidFill>
            </a:rPr>
            <a:t>xx%</a:t>
          </a:r>
          <a:endParaRPr lang="zh-CN" altLang="en-US" sz="1100">
            <a:solidFill>
              <a:srgbClr val="C00000"/>
            </a:solidFill>
          </a:endParaRPr>
        </a:p>
      </xdr:txBody>
    </xdr:sp>
    <xdr:clientData/>
  </xdr:oneCellAnchor>
  <xdr:twoCellAnchor>
    <xdr:from>
      <xdr:col>6</xdr:col>
      <xdr:colOff>704850</xdr:colOff>
      <xdr:row>11</xdr:row>
      <xdr:rowOff>152400</xdr:rowOff>
    </xdr:from>
    <xdr:to>
      <xdr:col>8</xdr:col>
      <xdr:colOff>419100</xdr:colOff>
      <xdr:row>11</xdr:row>
      <xdr:rowOff>152400</xdr:rowOff>
    </xdr:to>
    <xdr:cxnSp>
      <xdr:nvCxnSpPr>
        <xdr:cNvPr id="43" name="直接箭头连接符 42"/>
        <xdr:cNvCxnSpPr/>
      </xdr:nvCxnSpPr>
      <xdr:spPr>
        <a:xfrm>
          <a:off x="6829425" y="2983865"/>
          <a:ext cx="1333500" cy="0"/>
        </a:xfrm>
        <a:prstGeom prst="straightConnector1">
          <a:avLst/>
        </a:prstGeom>
        <a:ln w="19050">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400050</xdr:colOff>
      <xdr:row>11</xdr:row>
      <xdr:rowOff>161925</xdr:rowOff>
    </xdr:from>
    <xdr:to>
      <xdr:col>8</xdr:col>
      <xdr:colOff>400050</xdr:colOff>
      <xdr:row>18</xdr:row>
      <xdr:rowOff>57150</xdr:rowOff>
    </xdr:to>
    <xdr:cxnSp>
      <xdr:nvCxnSpPr>
        <xdr:cNvPr id="48" name="直接箭头连接符 47"/>
        <xdr:cNvCxnSpPr/>
      </xdr:nvCxnSpPr>
      <xdr:spPr>
        <a:xfrm>
          <a:off x="8143875" y="2993390"/>
          <a:ext cx="0" cy="1682115"/>
        </a:xfrm>
        <a:prstGeom prst="straightConnector1">
          <a:avLst/>
        </a:prstGeom>
        <a:ln w="19050">
          <a:tailEnd type="arrow"/>
        </a:ln>
      </xdr:spPr>
      <xdr:style>
        <a:lnRef idx="2">
          <a:schemeClr val="accent2"/>
        </a:lnRef>
        <a:fillRef idx="1">
          <a:schemeClr val="lt1"/>
        </a:fillRef>
        <a:effectRef idx="0">
          <a:schemeClr val="accent2"/>
        </a:effectRef>
        <a:fontRef idx="minor">
          <a:schemeClr val="dk1"/>
        </a:fontRef>
      </xdr:style>
    </xdr:cxnSp>
    <xdr:clientData/>
  </xdr:twoCellAnchor>
  <xdr:twoCellAnchor editAs="oneCell">
    <xdr:from>
      <xdr:col>5</xdr:col>
      <xdr:colOff>9525</xdr:colOff>
      <xdr:row>20</xdr:row>
      <xdr:rowOff>9525</xdr:rowOff>
    </xdr:from>
    <xdr:to>
      <xdr:col>16</xdr:col>
      <xdr:colOff>285750</xdr:colOff>
      <xdr:row>32</xdr:row>
      <xdr:rowOff>84137</xdr:rowOff>
    </xdr:to>
    <xdr:pic>
      <xdr:nvPicPr>
        <xdr:cNvPr id="52" name="内容占位符 3"/>
        <xdr:cNvPicPr>
          <a:picLocks noGrp="1" noChangeAspect="1" noChangeArrowheads="1"/>
        </xdr:cNvPicPr>
      </xdr:nvPicPr>
      <xdr:blipFill>
        <a:blip r:embed="rId3" cstate="print"/>
        <a:srcRect/>
        <a:stretch>
          <a:fillRect/>
        </a:stretch>
      </xdr:blipFill>
      <xdr:spPr>
        <a:xfrm>
          <a:off x="5324475" y="5138420"/>
          <a:ext cx="8229600" cy="3137535"/>
        </a:xfrm>
        <a:prstGeom prst="rect">
          <a:avLst/>
        </a:prstGeom>
        <a:noFill/>
        <a:ln w="9525">
          <a:noFill/>
          <a:miter lim="800000"/>
          <a:headEnd/>
          <a:tailEnd/>
        </a:ln>
      </xdr:spPr>
    </xdr:pic>
    <xdr:clientData/>
  </xdr:twoCellAnchor>
  <xdr:twoCellAnchor>
    <xdr:from>
      <xdr:col>0</xdr:col>
      <xdr:colOff>9525</xdr:colOff>
      <xdr:row>0</xdr:row>
      <xdr:rowOff>19050</xdr:rowOff>
    </xdr:from>
    <xdr:to>
      <xdr:col>0</xdr:col>
      <xdr:colOff>819151</xdr:colOff>
      <xdr:row>0</xdr:row>
      <xdr:rowOff>257175</xdr:rowOff>
    </xdr:to>
    <xdr:sp>
      <xdr:nvSpPr>
        <xdr:cNvPr id="11" name="五边形 10">
          <a:hlinkClick xmlns:r="http://schemas.openxmlformats.org/officeDocument/2006/relationships" r:id="rId4"/>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1.xml><?xml version="1.0" encoding="utf-8"?>
<xdr:wsDr xmlns:xdr="http://schemas.openxmlformats.org/drawingml/2006/spreadsheetDrawing" xmlns:r="http://schemas.openxmlformats.org/officeDocument/2006/relationships" xmlns:a="http://schemas.openxmlformats.org/drawingml/2006/main">
  <xdr:twoCellAnchor>
    <xdr:from>
      <xdr:col>5</xdr:col>
      <xdr:colOff>94439</xdr:colOff>
      <xdr:row>4</xdr:row>
      <xdr:rowOff>130184</xdr:rowOff>
    </xdr:from>
    <xdr:to>
      <xdr:col>5</xdr:col>
      <xdr:colOff>501900</xdr:colOff>
      <xdr:row>4</xdr:row>
      <xdr:rowOff>206428</xdr:rowOff>
    </xdr:to>
    <xdr:sp>
      <xdr:nvSpPr>
        <xdr:cNvPr id="47" name="矩形 46"/>
        <xdr:cNvSpPr/>
      </xdr:nvSpPr>
      <xdr:spPr>
        <a:xfrm rot="-900000">
          <a:off x="6313805" y="1174750"/>
          <a:ext cx="407670" cy="76200"/>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rtlCol="0" anchor="ctr"/>
        <a:lstStyle/>
        <a:p>
          <a:pPr algn="ctr"/>
          <a:endParaRPr lang="zh-CN" altLang="en-US" sz="1100"/>
        </a:p>
      </xdr:txBody>
    </xdr:sp>
    <xdr:clientData/>
  </xdr:twoCellAnchor>
  <xdr:twoCellAnchor>
    <xdr:from>
      <xdr:col>6</xdr:col>
      <xdr:colOff>638175</xdr:colOff>
      <xdr:row>1</xdr:row>
      <xdr:rowOff>133350</xdr:rowOff>
    </xdr:from>
    <xdr:to>
      <xdr:col>8</xdr:col>
      <xdr:colOff>190500</xdr:colOff>
      <xdr:row>3</xdr:row>
      <xdr:rowOff>133350</xdr:rowOff>
    </xdr:to>
    <xdr:sp>
      <xdr:nvSpPr>
        <xdr:cNvPr id="2" name="圆角矩形 1"/>
        <xdr:cNvSpPr/>
      </xdr:nvSpPr>
      <xdr:spPr>
        <a:xfrm rot="-900000">
          <a:off x="7667625" y="412115"/>
          <a:ext cx="1171575" cy="51054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b="0"/>
        </a:p>
      </xdr:txBody>
    </xdr:sp>
    <xdr:clientData/>
  </xdr:twoCellAnchor>
  <xdr:twoCellAnchor>
    <xdr:from>
      <xdr:col>6</xdr:col>
      <xdr:colOff>371476</xdr:colOff>
      <xdr:row>2</xdr:row>
      <xdr:rowOff>200025</xdr:rowOff>
    </xdr:from>
    <xdr:to>
      <xdr:col>7</xdr:col>
      <xdr:colOff>381001</xdr:colOff>
      <xdr:row>3</xdr:row>
      <xdr:rowOff>85725</xdr:rowOff>
    </xdr:to>
    <xdr:sp>
      <xdr:nvSpPr>
        <xdr:cNvPr id="3" name="矩形 2"/>
        <xdr:cNvSpPr/>
      </xdr:nvSpPr>
      <xdr:spPr>
        <a:xfrm rot="-900000">
          <a:off x="7400925" y="734060"/>
          <a:ext cx="819150" cy="14097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rtlCol="0" anchor="ctr"/>
        <a:lstStyle/>
        <a:p>
          <a:pPr algn="ctr"/>
          <a:endParaRPr lang="zh-CN" altLang="en-US" sz="1100"/>
        </a:p>
      </xdr:txBody>
    </xdr:sp>
    <xdr:clientData/>
  </xdr:twoCellAnchor>
  <xdr:twoCellAnchor>
    <xdr:from>
      <xdr:col>5</xdr:col>
      <xdr:colOff>714375</xdr:colOff>
      <xdr:row>2</xdr:row>
      <xdr:rowOff>133350</xdr:rowOff>
    </xdr:from>
    <xdr:to>
      <xdr:col>6</xdr:col>
      <xdr:colOff>390525</xdr:colOff>
      <xdr:row>4</xdr:row>
      <xdr:rowOff>200025</xdr:rowOff>
    </xdr:to>
    <xdr:sp>
      <xdr:nvSpPr>
        <xdr:cNvPr id="4" name="矩形 3"/>
        <xdr:cNvSpPr/>
      </xdr:nvSpPr>
      <xdr:spPr>
        <a:xfrm rot="-900000">
          <a:off x="6934200" y="667385"/>
          <a:ext cx="485775" cy="57721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rtlCol="0" anchor="ctr"/>
        <a:lstStyle/>
        <a:p>
          <a:pPr algn="ctr"/>
          <a:endParaRPr lang="zh-CN" altLang="en-US" sz="1100"/>
        </a:p>
      </xdr:txBody>
    </xdr:sp>
    <xdr:clientData/>
  </xdr:twoCellAnchor>
  <xdr:oneCellAnchor>
    <xdr:from>
      <xdr:col>7</xdr:col>
      <xdr:colOff>247650</xdr:colOff>
      <xdr:row>1</xdr:row>
      <xdr:rowOff>95248</xdr:rowOff>
    </xdr:from>
    <xdr:ext cx="857250" cy="390527"/>
    <xdr:sp>
      <xdr:nvSpPr>
        <xdr:cNvPr id="5" name="矩形 4"/>
        <xdr:cNvSpPr/>
      </xdr:nvSpPr>
      <xdr:spPr>
        <a:xfrm rot="-900000">
          <a:off x="8086725" y="373380"/>
          <a:ext cx="857250" cy="391160"/>
        </a:xfrm>
        <a:prstGeom prst="rect">
          <a:avLst/>
        </a:prstGeom>
        <a:noFill/>
      </xdr:spPr>
      <xdr:txBody>
        <a:bodyPr wrap="square" lIns="91440" tIns="45720" rIns="91440" bIns="45720">
          <a:no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气缸</a:t>
          </a:r>
          <a:endParaRPr lang="zh-CN" altLang="en-US"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clientData/>
  </xdr:oneCellAnchor>
  <xdr:oneCellAnchor>
    <xdr:from>
      <xdr:col>5</xdr:col>
      <xdr:colOff>419100</xdr:colOff>
      <xdr:row>2</xdr:row>
      <xdr:rowOff>209550</xdr:rowOff>
    </xdr:from>
    <xdr:ext cx="1085850" cy="685801"/>
    <xdr:sp>
      <xdr:nvSpPr>
        <xdr:cNvPr id="6" name="矩形 5"/>
        <xdr:cNvSpPr/>
      </xdr:nvSpPr>
      <xdr:spPr>
        <a:xfrm rot="-900000">
          <a:off x="6638925" y="743585"/>
          <a:ext cx="1085850" cy="685800"/>
        </a:xfrm>
        <a:prstGeom prst="rect">
          <a:avLst/>
        </a:prstGeom>
        <a:noFill/>
      </xdr:spPr>
      <xdr:txBody>
        <a:bodyPr wrap="square" lIns="91440" tIns="45720" rIns="91440" bIns="45720">
          <a:no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负载</a:t>
          </a:r>
          <a:endParaRPr lang="en-US" altLang="zh-CN"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a:p>
          <a:pPr algn="ctr"/>
          <a:endParaRPr lang="en-US" altLang="zh-CN"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clientData/>
  </xdr:oneCellAnchor>
  <xdr:twoCellAnchor>
    <xdr:from>
      <xdr:col>7</xdr:col>
      <xdr:colOff>285750</xdr:colOff>
      <xdr:row>1</xdr:row>
      <xdr:rowOff>152400</xdr:rowOff>
    </xdr:from>
    <xdr:to>
      <xdr:col>7</xdr:col>
      <xdr:colOff>428625</xdr:colOff>
      <xdr:row>3</xdr:row>
      <xdr:rowOff>152400</xdr:rowOff>
    </xdr:to>
    <xdr:sp>
      <xdr:nvSpPr>
        <xdr:cNvPr id="7" name="矩形 6"/>
        <xdr:cNvSpPr/>
      </xdr:nvSpPr>
      <xdr:spPr>
        <a:xfrm rot="-900000">
          <a:off x="8124825" y="431165"/>
          <a:ext cx="142875" cy="51054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rtlCol="0" anchor="ctr"/>
        <a:lstStyle/>
        <a:p>
          <a:pPr algn="ctr"/>
          <a:endParaRPr lang="zh-CN" altLang="en-US" sz="1100"/>
        </a:p>
      </xdr:txBody>
    </xdr:sp>
    <xdr:clientData/>
  </xdr:twoCellAnchor>
  <xdr:twoCellAnchor>
    <xdr:from>
      <xdr:col>5</xdr:col>
      <xdr:colOff>261178</xdr:colOff>
      <xdr:row>5</xdr:row>
      <xdr:rowOff>1820</xdr:rowOff>
    </xdr:from>
    <xdr:to>
      <xdr:col>6</xdr:col>
      <xdr:colOff>729873</xdr:colOff>
      <xdr:row>5</xdr:row>
      <xdr:rowOff>100493</xdr:rowOff>
    </xdr:to>
    <xdr:sp>
      <xdr:nvSpPr>
        <xdr:cNvPr id="8" name="矩形 7"/>
        <xdr:cNvSpPr/>
      </xdr:nvSpPr>
      <xdr:spPr>
        <a:xfrm rot="-900000">
          <a:off x="6480810" y="1301115"/>
          <a:ext cx="1278255" cy="990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rtlCol="0" anchor="ctr"/>
        <a:lstStyle/>
        <a:p>
          <a:pPr algn="ctr"/>
          <a:endParaRPr lang="zh-CN" altLang="en-US" sz="1100"/>
        </a:p>
      </xdr:txBody>
    </xdr:sp>
    <xdr:clientData/>
  </xdr:twoCellAnchor>
  <xdr:oneCellAnchor>
    <xdr:from>
      <xdr:col>5</xdr:col>
      <xdr:colOff>485775</xdr:colOff>
      <xdr:row>4</xdr:row>
      <xdr:rowOff>133350</xdr:rowOff>
    </xdr:from>
    <xdr:ext cx="1085850" cy="276225"/>
    <xdr:sp>
      <xdr:nvSpPr>
        <xdr:cNvPr id="9" name="矩形 8"/>
        <xdr:cNvSpPr/>
      </xdr:nvSpPr>
      <xdr:spPr>
        <a:xfrm rot="-900000">
          <a:off x="6705600" y="1177925"/>
          <a:ext cx="1085850" cy="276225"/>
        </a:xfrm>
        <a:prstGeom prst="rect">
          <a:avLst/>
        </a:prstGeom>
        <a:noFill/>
      </xdr:spPr>
      <xdr:txBody>
        <a:bodyPr wrap="square" lIns="91440" tIns="45720" rIns="91440" bIns="45720">
          <a:no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2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导      轨</a:t>
          </a:r>
          <a:endParaRPr lang="en-US" altLang="zh-CN" sz="12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clientData/>
  </xdr:oneCellAnchor>
  <xdr:twoCellAnchor editAs="oneCell">
    <xdr:from>
      <xdr:col>20</xdr:col>
      <xdr:colOff>523875</xdr:colOff>
      <xdr:row>31</xdr:row>
      <xdr:rowOff>228600</xdr:rowOff>
    </xdr:from>
    <xdr:to>
      <xdr:col>23</xdr:col>
      <xdr:colOff>342900</xdr:colOff>
      <xdr:row>36</xdr:row>
      <xdr:rowOff>161925</xdr:rowOff>
    </xdr:to>
    <xdr:pic>
      <xdr:nvPicPr>
        <xdr:cNvPr id="18" name="Picture 20"/>
        <xdr:cNvPicPr>
          <a:picLocks noChangeAspect="1" noChangeArrowheads="1"/>
        </xdr:cNvPicPr>
      </xdr:nvPicPr>
      <xdr:blipFill>
        <a:blip r:embed="rId1" cstate="print"/>
        <a:srcRect/>
        <a:stretch>
          <a:fillRect/>
        </a:stretch>
      </xdr:blipFill>
      <xdr:spPr>
        <a:xfrm>
          <a:off x="18583275" y="8165465"/>
          <a:ext cx="1790700" cy="1209675"/>
        </a:xfrm>
        <a:prstGeom prst="rect">
          <a:avLst/>
        </a:prstGeom>
        <a:noFill/>
        <a:ln w="1">
          <a:noFill/>
          <a:miter lim="800000"/>
          <a:headEnd/>
          <a:tailEnd type="none" w="med" len="med"/>
        </a:ln>
        <a:effectLst/>
      </xdr:spPr>
    </xdr:pic>
    <xdr:clientData/>
  </xdr:twoCellAnchor>
  <xdr:twoCellAnchor>
    <xdr:from>
      <xdr:col>4</xdr:col>
      <xdr:colOff>504826</xdr:colOff>
      <xdr:row>6</xdr:row>
      <xdr:rowOff>47625</xdr:rowOff>
    </xdr:from>
    <xdr:to>
      <xdr:col>8</xdr:col>
      <xdr:colOff>228600</xdr:colOff>
      <xdr:row>6</xdr:row>
      <xdr:rowOff>93344</xdr:rowOff>
    </xdr:to>
    <xdr:sp>
      <xdr:nvSpPr>
        <xdr:cNvPr id="24" name="矩形 23"/>
        <xdr:cNvSpPr/>
      </xdr:nvSpPr>
      <xdr:spPr>
        <a:xfrm>
          <a:off x="6124575" y="1602740"/>
          <a:ext cx="2752725" cy="4508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oneCellAnchor>
    <xdr:from>
      <xdr:col>6</xdr:col>
      <xdr:colOff>700097</xdr:colOff>
      <xdr:row>4</xdr:row>
      <xdr:rowOff>82867</xdr:rowOff>
    </xdr:from>
    <xdr:ext cx="352404" cy="468013"/>
    <xdr:sp>
      <xdr:nvSpPr>
        <xdr:cNvPr id="25" name="矩形 24"/>
        <xdr:cNvSpPr/>
      </xdr:nvSpPr>
      <xdr:spPr>
        <a:xfrm>
          <a:off x="7729220" y="1127125"/>
          <a:ext cx="352425" cy="467995"/>
        </a:xfrm>
        <a:prstGeom prst="rect">
          <a:avLst/>
        </a:prstGeom>
        <a:noFill/>
      </xdr:spPr>
      <xdr:txBody>
        <a:bodyPr wrap="none" lIns="91440" tIns="45720" rIns="91440" bIns="45720">
          <a:spAutoFit/>
        </a:bodyPr>
        <a:lstStyle/>
        <a:p>
          <a:pPr algn="ctr"/>
          <a:r>
            <a:rPr lang="el-GR" altLang="zh-CN" sz="2400" b="1" cap="none" spc="0">
              <a:ln w="1905"/>
              <a:gradFill>
                <a:gsLst>
                  <a:gs pos="0">
                    <a:schemeClr val="accent6">
                      <a:shade val="20000"/>
                      <a:satMod val="200000"/>
                    </a:schemeClr>
                  </a:gs>
                  <a:gs pos="78000">
                    <a:schemeClr val="accent6">
                      <a:tint val="90000"/>
                      <a:shade val="89000"/>
                      <a:satMod val="220000"/>
                    </a:schemeClr>
                  </a:gs>
                  <a:gs pos="100000">
                    <a:schemeClr val="accent6">
                      <a:tint val="12000"/>
                      <a:satMod val="255000"/>
                    </a:schemeClr>
                  </a:gs>
                </a:gsLst>
                <a:lin ang="5400000"/>
              </a:gradFill>
              <a:effectLst>
                <a:innerShdw blurRad="69850" dist="43180" dir="5400000">
                  <a:srgbClr val="000000">
                    <a:alpha val="65000"/>
                  </a:srgbClr>
                </a:innerShdw>
              </a:effectLst>
            </a:rPr>
            <a:t>θ</a:t>
          </a:r>
          <a:endParaRPr lang="zh-CN" altLang="en-US" sz="2400" b="1" cap="none" spc="0">
            <a:ln w="1905"/>
            <a:gradFill>
              <a:gsLst>
                <a:gs pos="0">
                  <a:schemeClr val="accent6">
                    <a:shade val="20000"/>
                    <a:satMod val="200000"/>
                  </a:schemeClr>
                </a:gs>
                <a:gs pos="78000">
                  <a:schemeClr val="accent6">
                    <a:tint val="90000"/>
                    <a:shade val="89000"/>
                    <a:satMod val="220000"/>
                  </a:schemeClr>
                </a:gs>
                <a:gs pos="100000">
                  <a:schemeClr val="accent6">
                    <a:tint val="12000"/>
                    <a:satMod val="255000"/>
                  </a:schemeClr>
                </a:gs>
              </a:gsLst>
              <a:lin ang="5400000"/>
            </a:gradFill>
            <a:effectLst>
              <a:innerShdw blurRad="69850" dist="43180" dir="5400000">
                <a:srgbClr val="000000">
                  <a:alpha val="65000"/>
                </a:srgbClr>
              </a:innerShdw>
            </a:effectLst>
          </a:endParaRPr>
        </a:p>
      </xdr:txBody>
    </xdr:sp>
    <xdr:clientData/>
  </xdr:oneCellAnchor>
  <xdr:twoCellAnchor>
    <xdr:from>
      <xdr:col>6</xdr:col>
      <xdr:colOff>587397</xdr:colOff>
      <xdr:row>4</xdr:row>
      <xdr:rowOff>161085</xdr:rowOff>
    </xdr:from>
    <xdr:to>
      <xdr:col>6</xdr:col>
      <xdr:colOff>741824</xdr:colOff>
      <xdr:row>6</xdr:row>
      <xdr:rowOff>111432</xdr:rowOff>
    </xdr:to>
    <xdr:sp>
      <xdr:nvSpPr>
        <xdr:cNvPr id="26" name="环形箭头 25"/>
        <xdr:cNvSpPr/>
      </xdr:nvSpPr>
      <xdr:spPr>
        <a:xfrm rot="4500000">
          <a:off x="7463155" y="1358265"/>
          <a:ext cx="461010" cy="154940"/>
        </a:xfrm>
        <a:prstGeom prst="circular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solidFill>
              <a:schemeClr val="tx1"/>
            </a:solidFill>
          </a:endParaRPr>
        </a:p>
      </xdr:txBody>
    </xdr:sp>
    <xdr:clientData/>
  </xdr:twoCellAnchor>
  <xdr:twoCellAnchor>
    <xdr:from>
      <xdr:col>11</xdr:col>
      <xdr:colOff>609600</xdr:colOff>
      <xdr:row>5</xdr:row>
      <xdr:rowOff>19050</xdr:rowOff>
    </xdr:from>
    <xdr:to>
      <xdr:col>12</xdr:col>
      <xdr:colOff>47625</xdr:colOff>
      <xdr:row>5</xdr:row>
      <xdr:rowOff>219075</xdr:rowOff>
    </xdr:to>
    <xdr:sp>
      <xdr:nvSpPr>
        <xdr:cNvPr id="30" name="矩形 29"/>
        <xdr:cNvSpPr/>
      </xdr:nvSpPr>
      <xdr:spPr>
        <a:xfrm>
          <a:off x="11687175" y="1318895"/>
          <a:ext cx="247650" cy="20002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xdr:from>
      <xdr:col>12</xdr:col>
      <xdr:colOff>409575</xdr:colOff>
      <xdr:row>5</xdr:row>
      <xdr:rowOff>76200</xdr:rowOff>
    </xdr:from>
    <xdr:to>
      <xdr:col>12</xdr:col>
      <xdr:colOff>657225</xdr:colOff>
      <xdr:row>6</xdr:row>
      <xdr:rowOff>28575</xdr:rowOff>
    </xdr:to>
    <xdr:sp>
      <xdr:nvSpPr>
        <xdr:cNvPr id="31" name="矩形 30"/>
        <xdr:cNvSpPr/>
      </xdr:nvSpPr>
      <xdr:spPr>
        <a:xfrm>
          <a:off x="12296775" y="1376045"/>
          <a:ext cx="247650" cy="20764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xdr:from>
      <xdr:col>4</xdr:col>
      <xdr:colOff>508914</xdr:colOff>
      <xdr:row>4</xdr:row>
      <xdr:rowOff>147386</xdr:rowOff>
    </xdr:from>
    <xdr:to>
      <xdr:col>5</xdr:col>
      <xdr:colOff>397786</xdr:colOff>
      <xdr:row>5</xdr:row>
      <xdr:rowOff>24578</xdr:rowOff>
    </xdr:to>
    <xdr:sp>
      <xdr:nvSpPr>
        <xdr:cNvPr id="34" name="矩形 33"/>
        <xdr:cNvSpPr/>
      </xdr:nvSpPr>
      <xdr:spPr>
        <a:xfrm rot="-900000">
          <a:off x="6128385" y="1191895"/>
          <a:ext cx="488950" cy="132080"/>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rtlCol="0" anchor="ctr"/>
        <a:lstStyle/>
        <a:p>
          <a:pPr algn="ctr"/>
          <a:endParaRPr lang="zh-CN" altLang="en-US" sz="1100"/>
        </a:p>
      </xdr:txBody>
    </xdr:sp>
    <xdr:clientData/>
  </xdr:twoCellAnchor>
  <xdr:twoCellAnchor editAs="oneCell">
    <xdr:from>
      <xdr:col>5</xdr:col>
      <xdr:colOff>9525</xdr:colOff>
      <xdr:row>9</xdr:row>
      <xdr:rowOff>19050</xdr:rowOff>
    </xdr:from>
    <xdr:to>
      <xdr:col>12</xdr:col>
      <xdr:colOff>552450</xdr:colOff>
      <xdr:row>31</xdr:row>
      <xdr:rowOff>116285</xdr:rowOff>
    </xdr:to>
    <xdr:pic>
      <xdr:nvPicPr>
        <xdr:cNvPr id="38" name="Picture 7"/>
        <xdr:cNvPicPr>
          <a:picLocks noChangeAspect="1" noChangeArrowheads="1"/>
        </xdr:cNvPicPr>
      </xdr:nvPicPr>
      <xdr:blipFill>
        <a:blip r:embed="rId2" cstate="print"/>
        <a:srcRect/>
        <a:stretch>
          <a:fillRect/>
        </a:stretch>
      </xdr:blipFill>
      <xdr:spPr>
        <a:xfrm>
          <a:off x="6229350" y="2339975"/>
          <a:ext cx="6210300" cy="5713095"/>
        </a:xfrm>
        <a:prstGeom prst="rect">
          <a:avLst/>
        </a:prstGeom>
        <a:noFill/>
        <a:ln w="1">
          <a:noFill/>
          <a:miter lim="800000"/>
          <a:headEnd/>
          <a:tailEnd/>
        </a:ln>
      </xdr:spPr>
    </xdr:pic>
    <xdr:clientData/>
  </xdr:twoCellAnchor>
  <xdr:twoCellAnchor editAs="oneCell">
    <xdr:from>
      <xdr:col>9</xdr:col>
      <xdr:colOff>9526</xdr:colOff>
      <xdr:row>2</xdr:row>
      <xdr:rowOff>9525</xdr:rowOff>
    </xdr:from>
    <xdr:to>
      <xdr:col>10</xdr:col>
      <xdr:colOff>802959</xdr:colOff>
      <xdr:row>7</xdr:row>
      <xdr:rowOff>142875</xdr:rowOff>
    </xdr:to>
    <xdr:pic>
      <xdr:nvPicPr>
        <xdr:cNvPr id="25603" name="Picture 3"/>
        <xdr:cNvPicPr>
          <a:picLocks noChangeAspect="1" noChangeArrowheads="1"/>
        </xdr:cNvPicPr>
      </xdr:nvPicPr>
      <xdr:blipFill>
        <a:blip r:embed="rId3" cstate="print"/>
        <a:srcRect/>
        <a:stretch>
          <a:fillRect/>
        </a:stretch>
      </xdr:blipFill>
      <xdr:spPr>
        <a:xfrm>
          <a:off x="9467850" y="543560"/>
          <a:ext cx="1602740" cy="1409700"/>
        </a:xfrm>
        <a:prstGeom prst="rect">
          <a:avLst/>
        </a:prstGeom>
        <a:noFill/>
        <a:ln w="1">
          <a:noFill/>
          <a:miter lim="800000"/>
          <a:headEnd/>
          <a:tailEnd type="none" w="med" len="med"/>
        </a:ln>
        <a:effectLst/>
      </xdr:spPr>
    </xdr:pic>
    <xdr:clientData/>
  </xdr:twoCellAnchor>
  <xdr:twoCellAnchor editAs="oneCell">
    <xdr:from>
      <xdr:col>10</xdr:col>
      <xdr:colOff>790575</xdr:colOff>
      <xdr:row>2</xdr:row>
      <xdr:rowOff>9526</xdr:rowOff>
    </xdr:from>
    <xdr:to>
      <xdr:col>12</xdr:col>
      <xdr:colOff>762000</xdr:colOff>
      <xdr:row>7</xdr:row>
      <xdr:rowOff>154832</xdr:rowOff>
    </xdr:to>
    <xdr:pic>
      <xdr:nvPicPr>
        <xdr:cNvPr id="25604" name="Picture 4"/>
        <xdr:cNvPicPr>
          <a:picLocks noChangeAspect="1" noChangeArrowheads="1"/>
        </xdr:cNvPicPr>
      </xdr:nvPicPr>
      <xdr:blipFill>
        <a:blip r:embed="rId4" cstate="print"/>
        <a:srcRect/>
        <a:stretch>
          <a:fillRect/>
        </a:stretch>
      </xdr:blipFill>
      <xdr:spPr>
        <a:xfrm>
          <a:off x="11058525" y="543560"/>
          <a:ext cx="1590675" cy="1421130"/>
        </a:xfrm>
        <a:prstGeom prst="rect">
          <a:avLst/>
        </a:prstGeom>
        <a:noFill/>
        <a:ln w="1">
          <a:noFill/>
          <a:miter lim="800000"/>
          <a:headEnd/>
          <a:tailEnd type="none" w="med" len="med"/>
        </a:ln>
        <a:effectLst/>
      </xdr:spPr>
    </xdr:pic>
    <xdr:clientData/>
  </xdr:twoCellAnchor>
  <xdr:twoCellAnchor>
    <xdr:from>
      <xdr:col>12</xdr:col>
      <xdr:colOff>504825</xdr:colOff>
      <xdr:row>3</xdr:row>
      <xdr:rowOff>228600</xdr:rowOff>
    </xdr:from>
    <xdr:to>
      <xdr:col>12</xdr:col>
      <xdr:colOff>590550</xdr:colOff>
      <xdr:row>4</xdr:row>
      <xdr:rowOff>104775</xdr:rowOff>
    </xdr:to>
    <xdr:sp>
      <xdr:nvSpPr>
        <xdr:cNvPr id="41" name="矩形 40"/>
        <xdr:cNvSpPr/>
      </xdr:nvSpPr>
      <xdr:spPr>
        <a:xfrm>
          <a:off x="12392025" y="1017905"/>
          <a:ext cx="85725" cy="131445"/>
        </a:xfrm>
        <a:prstGeom prst="rect">
          <a:avLst/>
        </a:prstGeom>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rtlCol="0" anchor="ctr"/>
        <a:lstStyle/>
        <a:p>
          <a:pPr algn="ctr"/>
          <a:endParaRPr lang="zh-CN" altLang="en-US" sz="1100"/>
        </a:p>
      </xdr:txBody>
    </xdr:sp>
    <xdr:clientData/>
  </xdr:twoCellAnchor>
  <xdr:twoCellAnchor>
    <xdr:from>
      <xdr:col>11</xdr:col>
      <xdr:colOff>638175</xdr:colOff>
      <xdr:row>4</xdr:row>
      <xdr:rowOff>133350</xdr:rowOff>
    </xdr:from>
    <xdr:to>
      <xdr:col>12</xdr:col>
      <xdr:colOff>476250</xdr:colOff>
      <xdr:row>5</xdr:row>
      <xdr:rowOff>38100</xdr:rowOff>
    </xdr:to>
    <xdr:cxnSp>
      <xdr:nvCxnSpPr>
        <xdr:cNvPr id="43" name="直接箭头连接符 42"/>
        <xdr:cNvCxnSpPr/>
      </xdr:nvCxnSpPr>
      <xdr:spPr>
        <a:xfrm flipV="1">
          <a:off x="11715750" y="1177925"/>
          <a:ext cx="647700" cy="160020"/>
        </a:xfrm>
        <a:prstGeom prst="straightConnector1">
          <a:avLst/>
        </a:prstGeom>
        <a:ln>
          <a:solidFill>
            <a:srgbClr val="FF0000"/>
          </a:solidFill>
          <a:tailEnd type="arrow"/>
        </a:ln>
      </xdr:spPr>
      <xdr:style>
        <a:lnRef idx="1">
          <a:schemeClr val="accent2"/>
        </a:lnRef>
        <a:fillRef idx="0">
          <a:schemeClr val="accent2"/>
        </a:fillRef>
        <a:effectRef idx="0">
          <a:schemeClr val="accent2"/>
        </a:effectRef>
        <a:fontRef idx="minor">
          <a:schemeClr val="tx1"/>
        </a:fontRef>
      </xdr:style>
    </xdr:cxnSp>
    <xdr:clientData/>
  </xdr:twoCellAnchor>
  <xdr:oneCellAnchor>
    <xdr:from>
      <xdr:col>11</xdr:col>
      <xdr:colOff>771525</xdr:colOff>
      <xdr:row>3</xdr:row>
      <xdr:rowOff>209550</xdr:rowOff>
    </xdr:from>
    <xdr:ext cx="296107" cy="342786"/>
    <xdr:sp>
      <xdr:nvSpPr>
        <xdr:cNvPr id="44" name="TextBox 43"/>
        <xdr:cNvSpPr txBox="1"/>
      </xdr:nvSpPr>
      <xdr:spPr>
        <a:xfrm>
          <a:off x="11849100" y="998855"/>
          <a:ext cx="295910" cy="3422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600">
              <a:solidFill>
                <a:srgbClr val="FF0000"/>
              </a:solidFill>
            </a:rPr>
            <a:t>R</a:t>
          </a:r>
          <a:endParaRPr lang="zh-CN" altLang="en-US" sz="1600">
            <a:solidFill>
              <a:srgbClr val="FF0000"/>
            </a:solidFill>
          </a:endParaRPr>
        </a:p>
      </xdr:txBody>
    </xdr:sp>
    <xdr:clientData/>
  </xdr:oneCellAnchor>
  <xdr:twoCellAnchor>
    <xdr:from>
      <xdr:col>5</xdr:col>
      <xdr:colOff>187004</xdr:colOff>
      <xdr:row>4</xdr:row>
      <xdr:rowOff>61131</xdr:rowOff>
    </xdr:from>
    <xdr:to>
      <xdr:col>5</xdr:col>
      <xdr:colOff>395004</xdr:colOff>
      <xdr:row>5</xdr:row>
      <xdr:rowOff>41512</xdr:rowOff>
    </xdr:to>
    <xdr:sp>
      <xdr:nvSpPr>
        <xdr:cNvPr id="46" name="矩形 45"/>
        <xdr:cNvSpPr/>
      </xdr:nvSpPr>
      <xdr:spPr>
        <a:xfrm rot="-900000">
          <a:off x="6406515" y="1105535"/>
          <a:ext cx="208280" cy="23558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rtlCol="0" anchor="ctr"/>
        <a:lstStyle/>
        <a:p>
          <a:pPr algn="ctr"/>
          <a:endParaRPr lang="zh-CN" altLang="en-US" sz="1100"/>
        </a:p>
      </xdr:txBody>
    </xdr:sp>
    <xdr:clientData/>
  </xdr:twoCellAnchor>
  <xdr:twoCellAnchor>
    <xdr:from>
      <xdr:col>5</xdr:col>
      <xdr:colOff>241629</xdr:colOff>
      <xdr:row>3</xdr:row>
      <xdr:rowOff>213664</xdr:rowOff>
    </xdr:from>
    <xdr:to>
      <xdr:col>5</xdr:col>
      <xdr:colOff>341996</xdr:colOff>
      <xdr:row>5</xdr:row>
      <xdr:rowOff>149642</xdr:rowOff>
    </xdr:to>
    <xdr:sp>
      <xdr:nvSpPr>
        <xdr:cNvPr id="45" name="矩形 44"/>
        <xdr:cNvSpPr/>
      </xdr:nvSpPr>
      <xdr:spPr>
        <a:xfrm rot="-900000">
          <a:off x="6461125" y="1002665"/>
          <a:ext cx="100330" cy="446405"/>
        </a:xfrm>
        <a:prstGeom prst="rect">
          <a:avLst/>
        </a:prstGeom>
        <a:solidFill>
          <a:schemeClr val="tx1"/>
        </a:solidFill>
      </xdr:spPr>
      <xdr:style>
        <a:lnRef idx="2">
          <a:schemeClr val="dk1"/>
        </a:lnRef>
        <a:fillRef idx="1">
          <a:schemeClr val="lt1"/>
        </a:fillRef>
        <a:effectRef idx="0">
          <a:schemeClr val="dk1"/>
        </a:effectRef>
        <a:fontRef idx="minor">
          <a:schemeClr val="dk1"/>
        </a:fontRef>
      </xdr:style>
      <xdr:txBody>
        <a:bodyPr vertOverflow="clip" rtlCol="0" anchor="ctr"/>
        <a:lstStyle/>
        <a:p>
          <a:pPr algn="ctr"/>
          <a:endParaRPr lang="zh-CN" altLang="en-US" sz="1100"/>
        </a:p>
      </xdr:txBody>
    </xdr:sp>
    <xdr:clientData/>
  </xdr:twoCellAnchor>
  <xdr:twoCellAnchor>
    <xdr:from>
      <xdr:col>0</xdr:col>
      <xdr:colOff>9525</xdr:colOff>
      <xdr:row>0</xdr:row>
      <xdr:rowOff>19050</xdr:rowOff>
    </xdr:from>
    <xdr:to>
      <xdr:col>0</xdr:col>
      <xdr:colOff>819151</xdr:colOff>
      <xdr:row>0</xdr:row>
      <xdr:rowOff>257175</xdr:rowOff>
    </xdr:to>
    <xdr:sp>
      <xdr:nvSpPr>
        <xdr:cNvPr id="28" name="五边形 27">
          <a:hlinkClick xmlns:r="http://schemas.openxmlformats.org/officeDocument/2006/relationships" r:id="rId5"/>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9525</xdr:colOff>
      <xdr:row>106</xdr:row>
      <xdr:rowOff>0</xdr:rowOff>
    </xdr:from>
    <xdr:to>
      <xdr:col>12</xdr:col>
      <xdr:colOff>95250</xdr:colOff>
      <xdr:row>121</xdr:row>
      <xdr:rowOff>238125</xdr:rowOff>
    </xdr:to>
    <xdr:pic>
      <xdr:nvPicPr>
        <xdr:cNvPr id="15" name="Picture 17"/>
        <xdr:cNvPicPr>
          <a:picLocks noChangeAspect="1" noChangeArrowheads="1"/>
        </xdr:cNvPicPr>
      </xdr:nvPicPr>
      <xdr:blipFill>
        <a:blip r:embed="rId1" cstate="print"/>
        <a:srcRect/>
        <a:stretch>
          <a:fillRect/>
        </a:stretch>
      </xdr:blipFill>
      <xdr:spPr>
        <a:xfrm>
          <a:off x="6229350" y="27082115"/>
          <a:ext cx="5753100" cy="4067175"/>
        </a:xfrm>
        <a:prstGeom prst="rect">
          <a:avLst/>
        </a:prstGeom>
        <a:noFill/>
        <a:ln w="1">
          <a:noFill/>
          <a:miter lim="800000"/>
          <a:headEnd/>
          <a:tailEnd type="none" w="med" len="med"/>
        </a:ln>
        <a:effectLst/>
      </xdr:spPr>
    </xdr:pic>
    <xdr:clientData/>
  </xdr:twoCellAnchor>
  <xdr:twoCellAnchor editAs="oneCell">
    <xdr:from>
      <xdr:col>20</xdr:col>
      <xdr:colOff>523875</xdr:colOff>
      <xdr:row>43</xdr:row>
      <xdr:rowOff>228600</xdr:rowOff>
    </xdr:from>
    <xdr:to>
      <xdr:col>23</xdr:col>
      <xdr:colOff>342900</xdr:colOff>
      <xdr:row>48</xdr:row>
      <xdr:rowOff>161925</xdr:rowOff>
    </xdr:to>
    <xdr:pic>
      <xdr:nvPicPr>
        <xdr:cNvPr id="18" name="Picture 20"/>
        <xdr:cNvPicPr>
          <a:picLocks noChangeAspect="1" noChangeArrowheads="1"/>
        </xdr:cNvPicPr>
      </xdr:nvPicPr>
      <xdr:blipFill>
        <a:blip r:embed="rId2" cstate="print"/>
        <a:srcRect/>
        <a:stretch>
          <a:fillRect/>
        </a:stretch>
      </xdr:blipFill>
      <xdr:spPr>
        <a:xfrm>
          <a:off x="18583275" y="11228705"/>
          <a:ext cx="1790700" cy="1209675"/>
        </a:xfrm>
        <a:prstGeom prst="rect">
          <a:avLst/>
        </a:prstGeom>
        <a:noFill/>
        <a:ln w="1">
          <a:noFill/>
          <a:miter lim="800000"/>
          <a:headEnd/>
          <a:tailEnd type="none" w="med" len="med"/>
        </a:ln>
        <a:effectLst/>
      </xdr:spPr>
    </xdr:pic>
    <xdr:clientData/>
  </xdr:twoCellAnchor>
  <xdr:twoCellAnchor>
    <xdr:from>
      <xdr:col>11</xdr:col>
      <xdr:colOff>609600</xdr:colOff>
      <xdr:row>7</xdr:row>
      <xdr:rowOff>19050</xdr:rowOff>
    </xdr:from>
    <xdr:to>
      <xdr:col>12</xdr:col>
      <xdr:colOff>47625</xdr:colOff>
      <xdr:row>7</xdr:row>
      <xdr:rowOff>219075</xdr:rowOff>
    </xdr:to>
    <xdr:sp>
      <xdr:nvSpPr>
        <xdr:cNvPr id="30" name="矩形 29"/>
        <xdr:cNvSpPr/>
      </xdr:nvSpPr>
      <xdr:spPr>
        <a:xfrm>
          <a:off x="11687175" y="1829435"/>
          <a:ext cx="247650" cy="20002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xdr:from>
      <xdr:col>12</xdr:col>
      <xdr:colOff>409575</xdr:colOff>
      <xdr:row>6</xdr:row>
      <xdr:rowOff>76200</xdr:rowOff>
    </xdr:from>
    <xdr:to>
      <xdr:col>12</xdr:col>
      <xdr:colOff>657225</xdr:colOff>
      <xdr:row>7</xdr:row>
      <xdr:rowOff>28575</xdr:rowOff>
    </xdr:to>
    <xdr:sp>
      <xdr:nvSpPr>
        <xdr:cNvPr id="31" name="矩形 30"/>
        <xdr:cNvSpPr/>
      </xdr:nvSpPr>
      <xdr:spPr>
        <a:xfrm>
          <a:off x="12296775" y="1631315"/>
          <a:ext cx="247650" cy="20764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editAs="oneCell">
    <xdr:from>
      <xdr:col>5</xdr:col>
      <xdr:colOff>9525</xdr:colOff>
      <xdr:row>17</xdr:row>
      <xdr:rowOff>28575</xdr:rowOff>
    </xdr:from>
    <xdr:to>
      <xdr:col>12</xdr:col>
      <xdr:colOff>371475</xdr:colOff>
      <xdr:row>34</xdr:row>
      <xdr:rowOff>123169</xdr:rowOff>
    </xdr:to>
    <xdr:pic>
      <xdr:nvPicPr>
        <xdr:cNvPr id="20483" name="Picture 3"/>
        <xdr:cNvPicPr>
          <a:picLocks noChangeAspect="1" noChangeArrowheads="1"/>
        </xdr:cNvPicPr>
      </xdr:nvPicPr>
      <xdr:blipFill>
        <a:blip r:embed="rId3" cstate="print"/>
        <a:srcRect/>
        <a:stretch>
          <a:fillRect/>
        </a:stretch>
      </xdr:blipFill>
      <xdr:spPr>
        <a:xfrm>
          <a:off x="6229350" y="4391660"/>
          <a:ext cx="6029325" cy="4433570"/>
        </a:xfrm>
        <a:prstGeom prst="rect">
          <a:avLst/>
        </a:prstGeom>
        <a:noFill/>
        <a:ln w="1">
          <a:noFill/>
          <a:miter lim="800000"/>
          <a:headEnd/>
          <a:tailEnd type="none" w="med" len="med"/>
        </a:ln>
        <a:effectLst/>
      </xdr:spPr>
    </xdr:pic>
    <xdr:clientData/>
  </xdr:twoCellAnchor>
  <xdr:twoCellAnchor editAs="oneCell">
    <xdr:from>
      <xdr:col>5</xdr:col>
      <xdr:colOff>9525</xdr:colOff>
      <xdr:row>45</xdr:row>
      <xdr:rowOff>9526</xdr:rowOff>
    </xdr:from>
    <xdr:to>
      <xdr:col>13</xdr:col>
      <xdr:colOff>285750</xdr:colOff>
      <xdr:row>62</xdr:row>
      <xdr:rowOff>143302</xdr:rowOff>
    </xdr:to>
    <xdr:pic>
      <xdr:nvPicPr>
        <xdr:cNvPr id="20489" name="Picture 9"/>
        <xdr:cNvPicPr>
          <a:picLocks noChangeAspect="1" noChangeArrowheads="1"/>
        </xdr:cNvPicPr>
      </xdr:nvPicPr>
      <xdr:blipFill>
        <a:blip r:embed="rId4" cstate="print"/>
        <a:srcRect/>
        <a:stretch>
          <a:fillRect/>
        </a:stretch>
      </xdr:blipFill>
      <xdr:spPr>
        <a:xfrm>
          <a:off x="6229350" y="11520170"/>
          <a:ext cx="6753225" cy="4472940"/>
        </a:xfrm>
        <a:prstGeom prst="rect">
          <a:avLst/>
        </a:prstGeom>
        <a:noFill/>
        <a:ln w="1">
          <a:noFill/>
          <a:miter lim="800000"/>
          <a:headEnd/>
          <a:tailEnd type="none" w="med" len="med"/>
        </a:ln>
        <a:effectLst/>
      </xdr:spPr>
    </xdr:pic>
    <xdr:clientData/>
  </xdr:twoCellAnchor>
  <xdr:twoCellAnchor editAs="oneCell">
    <xdr:from>
      <xdr:col>5</xdr:col>
      <xdr:colOff>0</xdr:colOff>
      <xdr:row>36</xdr:row>
      <xdr:rowOff>9525</xdr:rowOff>
    </xdr:from>
    <xdr:to>
      <xdr:col>11</xdr:col>
      <xdr:colOff>391406</xdr:colOff>
      <xdr:row>44</xdr:row>
      <xdr:rowOff>9524</xdr:rowOff>
    </xdr:to>
    <xdr:pic>
      <xdr:nvPicPr>
        <xdr:cNvPr id="20490" name="Picture 10"/>
        <xdr:cNvPicPr>
          <a:picLocks noChangeAspect="1" noChangeArrowheads="1"/>
        </xdr:cNvPicPr>
      </xdr:nvPicPr>
      <xdr:blipFill>
        <a:blip r:embed="rId5" cstate="print"/>
        <a:srcRect/>
        <a:stretch>
          <a:fillRect/>
        </a:stretch>
      </xdr:blipFill>
      <xdr:spPr>
        <a:xfrm>
          <a:off x="6219825" y="9222740"/>
          <a:ext cx="5248910" cy="2041525"/>
        </a:xfrm>
        <a:prstGeom prst="rect">
          <a:avLst/>
        </a:prstGeom>
        <a:noFill/>
        <a:ln w="1">
          <a:noFill/>
          <a:miter lim="800000"/>
          <a:headEnd/>
          <a:tailEnd type="none" w="med" len="med"/>
        </a:ln>
        <a:effectLst/>
      </xdr:spPr>
    </xdr:pic>
    <xdr:clientData/>
  </xdr:twoCellAnchor>
  <xdr:twoCellAnchor editAs="oneCell">
    <xdr:from>
      <xdr:col>6</xdr:col>
      <xdr:colOff>666750</xdr:colOff>
      <xdr:row>44</xdr:row>
      <xdr:rowOff>47625</xdr:rowOff>
    </xdr:from>
    <xdr:to>
      <xdr:col>8</xdr:col>
      <xdr:colOff>647700</xdr:colOff>
      <xdr:row>45</xdr:row>
      <xdr:rowOff>19050</xdr:rowOff>
    </xdr:to>
    <xdr:pic>
      <xdr:nvPicPr>
        <xdr:cNvPr id="20491" name="Picture 11"/>
        <xdr:cNvPicPr>
          <a:picLocks noChangeAspect="1" noChangeArrowheads="1"/>
        </xdr:cNvPicPr>
      </xdr:nvPicPr>
      <xdr:blipFill>
        <a:blip r:embed="rId6" cstate="print"/>
        <a:srcRect/>
        <a:stretch>
          <a:fillRect/>
        </a:stretch>
      </xdr:blipFill>
      <xdr:spPr>
        <a:xfrm>
          <a:off x="7696200" y="11303000"/>
          <a:ext cx="1600200" cy="226695"/>
        </a:xfrm>
        <a:prstGeom prst="rect">
          <a:avLst/>
        </a:prstGeom>
        <a:noFill/>
        <a:ln w="1">
          <a:noFill/>
          <a:miter lim="800000"/>
          <a:headEnd/>
          <a:tailEnd type="none" w="med" len="med"/>
        </a:ln>
        <a:effectLst/>
      </xdr:spPr>
    </xdr:pic>
    <xdr:clientData/>
  </xdr:twoCellAnchor>
  <xdr:twoCellAnchor editAs="oneCell">
    <xdr:from>
      <xdr:col>2</xdr:col>
      <xdr:colOff>9524</xdr:colOff>
      <xdr:row>19</xdr:row>
      <xdr:rowOff>119523</xdr:rowOff>
    </xdr:from>
    <xdr:to>
      <xdr:col>3</xdr:col>
      <xdr:colOff>1257300</xdr:colOff>
      <xdr:row>23</xdr:row>
      <xdr:rowOff>217028</xdr:rowOff>
    </xdr:to>
    <xdr:pic>
      <xdr:nvPicPr>
        <xdr:cNvPr id="20493" name="Picture 13"/>
        <xdr:cNvPicPr>
          <a:picLocks noChangeAspect="1" noChangeArrowheads="1"/>
        </xdr:cNvPicPr>
      </xdr:nvPicPr>
      <xdr:blipFill>
        <a:blip r:embed="rId7" cstate="print"/>
        <a:srcRect/>
        <a:stretch>
          <a:fillRect/>
        </a:stretch>
      </xdr:blipFill>
      <xdr:spPr>
        <a:xfrm>
          <a:off x="3171190" y="4993005"/>
          <a:ext cx="2439035" cy="1118235"/>
        </a:xfrm>
        <a:prstGeom prst="rect">
          <a:avLst/>
        </a:prstGeom>
        <a:noFill/>
        <a:ln w="1">
          <a:noFill/>
          <a:miter lim="800000"/>
          <a:headEnd/>
          <a:tailEnd type="none" w="med" len="med"/>
        </a:ln>
        <a:effectLst/>
      </xdr:spPr>
    </xdr:pic>
    <xdr:clientData/>
  </xdr:twoCellAnchor>
  <xdr:twoCellAnchor editAs="oneCell">
    <xdr:from>
      <xdr:col>2</xdr:col>
      <xdr:colOff>9525</xdr:colOff>
      <xdr:row>24</xdr:row>
      <xdr:rowOff>9526</xdr:rowOff>
    </xdr:from>
    <xdr:to>
      <xdr:col>2</xdr:col>
      <xdr:colOff>845840</xdr:colOff>
      <xdr:row>27</xdr:row>
      <xdr:rowOff>0</xdr:rowOff>
    </xdr:to>
    <xdr:pic>
      <xdr:nvPicPr>
        <xdr:cNvPr id="20495" name="Picture 15"/>
        <xdr:cNvPicPr>
          <a:picLocks noChangeAspect="1" noChangeArrowheads="1"/>
        </xdr:cNvPicPr>
      </xdr:nvPicPr>
      <xdr:blipFill>
        <a:blip r:embed="rId8" cstate="print"/>
        <a:srcRect/>
        <a:stretch>
          <a:fillRect/>
        </a:stretch>
      </xdr:blipFill>
      <xdr:spPr>
        <a:xfrm>
          <a:off x="3171825" y="6159500"/>
          <a:ext cx="836295" cy="756285"/>
        </a:xfrm>
        <a:prstGeom prst="rect">
          <a:avLst/>
        </a:prstGeom>
        <a:noFill/>
        <a:ln w="1">
          <a:noFill/>
          <a:miter lim="800000"/>
          <a:headEnd/>
          <a:tailEnd type="none" w="med" len="med"/>
        </a:ln>
        <a:effectLst/>
      </xdr:spPr>
    </xdr:pic>
    <xdr:clientData/>
  </xdr:twoCellAnchor>
  <xdr:twoCellAnchor editAs="oneCell">
    <xdr:from>
      <xdr:col>2</xdr:col>
      <xdr:colOff>975351</xdr:colOff>
      <xdr:row>24</xdr:row>
      <xdr:rowOff>9526</xdr:rowOff>
    </xdr:from>
    <xdr:to>
      <xdr:col>3</xdr:col>
      <xdr:colOff>1247775</xdr:colOff>
      <xdr:row>27</xdr:row>
      <xdr:rowOff>0</xdr:rowOff>
    </xdr:to>
    <xdr:pic>
      <xdr:nvPicPr>
        <xdr:cNvPr id="20496" name="Picture 16"/>
        <xdr:cNvPicPr>
          <a:picLocks noChangeAspect="1" noChangeArrowheads="1"/>
        </xdr:cNvPicPr>
      </xdr:nvPicPr>
      <xdr:blipFill>
        <a:blip r:embed="rId9" cstate="print"/>
        <a:srcRect/>
        <a:stretch>
          <a:fillRect/>
        </a:stretch>
      </xdr:blipFill>
      <xdr:spPr>
        <a:xfrm>
          <a:off x="4137025" y="6159500"/>
          <a:ext cx="1463675" cy="756285"/>
        </a:xfrm>
        <a:prstGeom prst="rect">
          <a:avLst/>
        </a:prstGeom>
        <a:noFill/>
        <a:ln w="1">
          <a:noFill/>
          <a:miter lim="800000"/>
          <a:headEnd/>
          <a:tailEnd type="none" w="med" len="med"/>
        </a:ln>
        <a:effectLst/>
      </xdr:spPr>
    </xdr:pic>
    <xdr:clientData/>
  </xdr:twoCellAnchor>
  <xdr:twoCellAnchor editAs="oneCell">
    <xdr:from>
      <xdr:col>2</xdr:col>
      <xdr:colOff>9525</xdr:colOff>
      <xdr:row>27</xdr:row>
      <xdr:rowOff>19050</xdr:rowOff>
    </xdr:from>
    <xdr:to>
      <xdr:col>2</xdr:col>
      <xdr:colOff>723900</xdr:colOff>
      <xdr:row>33</xdr:row>
      <xdr:rowOff>219075</xdr:rowOff>
    </xdr:to>
    <xdr:pic>
      <xdr:nvPicPr>
        <xdr:cNvPr id="20497" name="Picture 17"/>
        <xdr:cNvPicPr>
          <a:picLocks noChangeAspect="1" noChangeArrowheads="1"/>
        </xdr:cNvPicPr>
      </xdr:nvPicPr>
      <xdr:blipFill>
        <a:blip r:embed="rId10" cstate="print"/>
        <a:srcRect/>
        <a:stretch>
          <a:fillRect/>
        </a:stretch>
      </xdr:blipFill>
      <xdr:spPr>
        <a:xfrm>
          <a:off x="3171825" y="6934835"/>
          <a:ext cx="714375" cy="1731645"/>
        </a:xfrm>
        <a:prstGeom prst="rect">
          <a:avLst/>
        </a:prstGeom>
        <a:noFill/>
        <a:ln w="1">
          <a:noFill/>
          <a:miter lim="800000"/>
          <a:headEnd/>
          <a:tailEnd type="none" w="med" len="med"/>
        </a:ln>
        <a:effectLst/>
      </xdr:spPr>
    </xdr:pic>
    <xdr:clientData/>
  </xdr:twoCellAnchor>
  <xdr:twoCellAnchor editAs="oneCell">
    <xdr:from>
      <xdr:col>2</xdr:col>
      <xdr:colOff>819150</xdr:colOff>
      <xdr:row>27</xdr:row>
      <xdr:rowOff>9525</xdr:rowOff>
    </xdr:from>
    <xdr:to>
      <xdr:col>3</xdr:col>
      <xdr:colOff>571500</xdr:colOff>
      <xdr:row>33</xdr:row>
      <xdr:rowOff>237301</xdr:rowOff>
    </xdr:to>
    <xdr:pic>
      <xdr:nvPicPr>
        <xdr:cNvPr id="20498" name="Picture 18"/>
        <xdr:cNvPicPr>
          <a:picLocks noChangeAspect="1" noChangeArrowheads="1"/>
        </xdr:cNvPicPr>
      </xdr:nvPicPr>
      <xdr:blipFill>
        <a:blip r:embed="rId11" cstate="print"/>
        <a:srcRect/>
        <a:stretch>
          <a:fillRect/>
        </a:stretch>
      </xdr:blipFill>
      <xdr:spPr>
        <a:xfrm>
          <a:off x="3981450" y="6925310"/>
          <a:ext cx="942975" cy="1758950"/>
        </a:xfrm>
        <a:prstGeom prst="rect">
          <a:avLst/>
        </a:prstGeom>
        <a:noFill/>
        <a:ln w="1">
          <a:noFill/>
          <a:miter lim="800000"/>
          <a:headEnd/>
          <a:tailEnd type="none" w="med" len="med"/>
        </a:ln>
        <a:effectLst/>
      </xdr:spPr>
    </xdr:pic>
    <xdr:clientData/>
  </xdr:twoCellAnchor>
  <xdr:twoCellAnchor editAs="oneCell">
    <xdr:from>
      <xdr:col>2</xdr:col>
      <xdr:colOff>19050</xdr:colOff>
      <xdr:row>34</xdr:row>
      <xdr:rowOff>9524</xdr:rowOff>
    </xdr:from>
    <xdr:to>
      <xdr:col>3</xdr:col>
      <xdr:colOff>9525</xdr:colOff>
      <xdr:row>37</xdr:row>
      <xdr:rowOff>228600</xdr:rowOff>
    </xdr:to>
    <xdr:pic>
      <xdr:nvPicPr>
        <xdr:cNvPr id="20499" name="Picture 19"/>
        <xdr:cNvPicPr>
          <a:picLocks noChangeAspect="1" noChangeArrowheads="1"/>
        </xdr:cNvPicPr>
      </xdr:nvPicPr>
      <xdr:blipFill>
        <a:blip r:embed="rId12" cstate="print"/>
        <a:srcRect/>
        <a:stretch>
          <a:fillRect/>
        </a:stretch>
      </xdr:blipFill>
      <xdr:spPr>
        <a:xfrm>
          <a:off x="3181350" y="8711565"/>
          <a:ext cx="1181100" cy="985520"/>
        </a:xfrm>
        <a:prstGeom prst="rect">
          <a:avLst/>
        </a:prstGeom>
        <a:noFill/>
        <a:ln w="1">
          <a:noFill/>
          <a:miter lim="800000"/>
          <a:headEnd/>
          <a:tailEnd type="none" w="med" len="med"/>
        </a:ln>
        <a:effectLst/>
      </xdr:spPr>
    </xdr:pic>
    <xdr:clientData/>
  </xdr:twoCellAnchor>
  <xdr:twoCellAnchor editAs="oneCell">
    <xdr:from>
      <xdr:col>3</xdr:col>
      <xdr:colOff>219075</xdr:colOff>
      <xdr:row>34</xdr:row>
      <xdr:rowOff>19050</xdr:rowOff>
    </xdr:from>
    <xdr:to>
      <xdr:col>3</xdr:col>
      <xdr:colOff>1207399</xdr:colOff>
      <xdr:row>37</xdr:row>
      <xdr:rowOff>228600</xdr:rowOff>
    </xdr:to>
    <xdr:pic>
      <xdr:nvPicPr>
        <xdr:cNvPr id="20500" name="Picture 20"/>
        <xdr:cNvPicPr>
          <a:picLocks noChangeAspect="1" noChangeArrowheads="1"/>
        </xdr:cNvPicPr>
      </xdr:nvPicPr>
      <xdr:blipFill>
        <a:blip r:embed="rId13" cstate="print"/>
        <a:srcRect/>
        <a:stretch>
          <a:fillRect/>
        </a:stretch>
      </xdr:blipFill>
      <xdr:spPr>
        <a:xfrm>
          <a:off x="4572000" y="8721725"/>
          <a:ext cx="988060" cy="975360"/>
        </a:xfrm>
        <a:prstGeom prst="rect">
          <a:avLst/>
        </a:prstGeom>
        <a:noFill/>
        <a:ln w="1">
          <a:noFill/>
          <a:miter lim="800000"/>
          <a:headEnd/>
          <a:tailEnd type="none" w="med" len="med"/>
        </a:ln>
        <a:effectLst/>
      </xdr:spPr>
    </xdr:pic>
    <xdr:clientData/>
  </xdr:twoCellAnchor>
  <xdr:twoCellAnchor editAs="oneCell">
    <xdr:from>
      <xdr:col>0</xdr:col>
      <xdr:colOff>0</xdr:colOff>
      <xdr:row>51</xdr:row>
      <xdr:rowOff>9524</xdr:rowOff>
    </xdr:from>
    <xdr:to>
      <xdr:col>3</xdr:col>
      <xdr:colOff>304800</xdr:colOff>
      <xdr:row>64</xdr:row>
      <xdr:rowOff>239745</xdr:rowOff>
    </xdr:to>
    <xdr:pic>
      <xdr:nvPicPr>
        <xdr:cNvPr id="20503" name="Picture 23"/>
        <xdr:cNvPicPr>
          <a:picLocks noChangeAspect="1" noChangeArrowheads="1"/>
        </xdr:cNvPicPr>
      </xdr:nvPicPr>
      <xdr:blipFill>
        <a:blip r:embed="rId14" cstate="print"/>
        <a:srcRect/>
        <a:stretch>
          <a:fillRect/>
        </a:stretch>
      </xdr:blipFill>
      <xdr:spPr>
        <a:xfrm>
          <a:off x="0" y="13051155"/>
          <a:ext cx="4657725" cy="3549015"/>
        </a:xfrm>
        <a:prstGeom prst="rect">
          <a:avLst/>
        </a:prstGeom>
        <a:noFill/>
        <a:ln w="1">
          <a:noFill/>
          <a:miter lim="800000"/>
          <a:headEnd/>
          <a:tailEnd type="none" w="med" len="med"/>
        </a:ln>
        <a:effectLst/>
      </xdr:spPr>
    </xdr:pic>
    <xdr:clientData/>
  </xdr:twoCellAnchor>
  <xdr:twoCellAnchor editAs="oneCell">
    <xdr:from>
      <xdr:col>10</xdr:col>
      <xdr:colOff>0</xdr:colOff>
      <xdr:row>4</xdr:row>
      <xdr:rowOff>9524</xdr:rowOff>
    </xdr:from>
    <xdr:to>
      <xdr:col>14</xdr:col>
      <xdr:colOff>19050</xdr:colOff>
      <xdr:row>6</xdr:row>
      <xdr:rowOff>247649</xdr:rowOff>
    </xdr:to>
    <xdr:pic>
      <xdr:nvPicPr>
        <xdr:cNvPr id="20504" name="Picture 24"/>
        <xdr:cNvPicPr>
          <a:picLocks noChangeAspect="1" noChangeArrowheads="1"/>
        </xdr:cNvPicPr>
      </xdr:nvPicPr>
      <xdr:blipFill>
        <a:blip r:embed="rId15" cstate="print"/>
        <a:srcRect/>
        <a:stretch>
          <a:fillRect/>
        </a:stretch>
      </xdr:blipFill>
      <xdr:spPr>
        <a:xfrm>
          <a:off x="10267950" y="1053465"/>
          <a:ext cx="3257550" cy="74866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9" name="五边形 18">
          <a:hlinkClick xmlns:r="http://schemas.openxmlformats.org/officeDocument/2006/relationships" r:id="rId16"/>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3.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9525</xdr:colOff>
      <xdr:row>97</xdr:row>
      <xdr:rowOff>0</xdr:rowOff>
    </xdr:from>
    <xdr:to>
      <xdr:col>12</xdr:col>
      <xdr:colOff>95250</xdr:colOff>
      <xdr:row>112</xdr:row>
      <xdr:rowOff>238125</xdr:rowOff>
    </xdr:to>
    <xdr:pic>
      <xdr:nvPicPr>
        <xdr:cNvPr id="2" name="Picture 17"/>
        <xdr:cNvPicPr>
          <a:picLocks noChangeAspect="1" noChangeArrowheads="1"/>
        </xdr:cNvPicPr>
      </xdr:nvPicPr>
      <xdr:blipFill>
        <a:blip r:embed="rId1" cstate="print"/>
        <a:srcRect/>
        <a:stretch>
          <a:fillRect/>
        </a:stretch>
      </xdr:blipFill>
      <xdr:spPr>
        <a:xfrm>
          <a:off x="6257925" y="24784685"/>
          <a:ext cx="5753100" cy="4067175"/>
        </a:xfrm>
        <a:prstGeom prst="rect">
          <a:avLst/>
        </a:prstGeom>
        <a:noFill/>
        <a:ln w="1">
          <a:noFill/>
          <a:miter lim="800000"/>
          <a:headEnd/>
          <a:tailEnd type="none" w="med" len="med"/>
        </a:ln>
        <a:effectLst/>
      </xdr:spPr>
    </xdr:pic>
    <xdr:clientData/>
  </xdr:twoCellAnchor>
  <xdr:twoCellAnchor editAs="oneCell">
    <xdr:from>
      <xdr:col>20</xdr:col>
      <xdr:colOff>523875</xdr:colOff>
      <xdr:row>43</xdr:row>
      <xdr:rowOff>228600</xdr:rowOff>
    </xdr:from>
    <xdr:to>
      <xdr:col>23</xdr:col>
      <xdr:colOff>342900</xdr:colOff>
      <xdr:row>48</xdr:row>
      <xdr:rowOff>161925</xdr:rowOff>
    </xdr:to>
    <xdr:pic>
      <xdr:nvPicPr>
        <xdr:cNvPr id="3" name="Picture 20"/>
        <xdr:cNvPicPr>
          <a:picLocks noChangeAspect="1" noChangeArrowheads="1"/>
        </xdr:cNvPicPr>
      </xdr:nvPicPr>
      <xdr:blipFill>
        <a:blip r:embed="rId2" cstate="print"/>
        <a:srcRect/>
        <a:stretch>
          <a:fillRect/>
        </a:stretch>
      </xdr:blipFill>
      <xdr:spPr>
        <a:xfrm>
          <a:off x="18611850" y="11228705"/>
          <a:ext cx="1790700" cy="1209675"/>
        </a:xfrm>
        <a:prstGeom prst="rect">
          <a:avLst/>
        </a:prstGeom>
        <a:noFill/>
        <a:ln w="1">
          <a:noFill/>
          <a:miter lim="800000"/>
          <a:headEnd/>
          <a:tailEnd type="none" w="med" len="med"/>
        </a:ln>
        <a:effectLst/>
      </xdr:spPr>
    </xdr:pic>
    <xdr:clientData/>
  </xdr:twoCellAnchor>
  <xdr:twoCellAnchor>
    <xdr:from>
      <xdr:col>11</xdr:col>
      <xdr:colOff>609600</xdr:colOff>
      <xdr:row>7</xdr:row>
      <xdr:rowOff>19050</xdr:rowOff>
    </xdr:from>
    <xdr:to>
      <xdr:col>12</xdr:col>
      <xdr:colOff>47625</xdr:colOff>
      <xdr:row>7</xdr:row>
      <xdr:rowOff>219075</xdr:rowOff>
    </xdr:to>
    <xdr:sp>
      <xdr:nvSpPr>
        <xdr:cNvPr id="4" name="矩形 3"/>
        <xdr:cNvSpPr/>
      </xdr:nvSpPr>
      <xdr:spPr>
        <a:xfrm>
          <a:off x="11715750" y="1829435"/>
          <a:ext cx="247650" cy="20002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xdr:from>
      <xdr:col>12</xdr:col>
      <xdr:colOff>409575</xdr:colOff>
      <xdr:row>6</xdr:row>
      <xdr:rowOff>76200</xdr:rowOff>
    </xdr:from>
    <xdr:to>
      <xdr:col>12</xdr:col>
      <xdr:colOff>657225</xdr:colOff>
      <xdr:row>7</xdr:row>
      <xdr:rowOff>28575</xdr:rowOff>
    </xdr:to>
    <xdr:sp>
      <xdr:nvSpPr>
        <xdr:cNvPr id="5" name="矩形 4"/>
        <xdr:cNvSpPr/>
      </xdr:nvSpPr>
      <xdr:spPr>
        <a:xfrm>
          <a:off x="12325350" y="1631315"/>
          <a:ext cx="247650" cy="20764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xdr:from>
      <xdr:col>11</xdr:col>
      <xdr:colOff>609600</xdr:colOff>
      <xdr:row>7</xdr:row>
      <xdr:rowOff>19050</xdr:rowOff>
    </xdr:from>
    <xdr:to>
      <xdr:col>12</xdr:col>
      <xdr:colOff>47625</xdr:colOff>
      <xdr:row>7</xdr:row>
      <xdr:rowOff>219075</xdr:rowOff>
    </xdr:to>
    <xdr:sp>
      <xdr:nvSpPr>
        <xdr:cNvPr id="19" name="矩形 18"/>
        <xdr:cNvSpPr/>
      </xdr:nvSpPr>
      <xdr:spPr>
        <a:xfrm>
          <a:off x="11715750" y="1829435"/>
          <a:ext cx="247650" cy="20002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xdr:from>
      <xdr:col>12</xdr:col>
      <xdr:colOff>409575</xdr:colOff>
      <xdr:row>6</xdr:row>
      <xdr:rowOff>76200</xdr:rowOff>
    </xdr:from>
    <xdr:to>
      <xdr:col>12</xdr:col>
      <xdr:colOff>657225</xdr:colOff>
      <xdr:row>7</xdr:row>
      <xdr:rowOff>28575</xdr:rowOff>
    </xdr:to>
    <xdr:sp>
      <xdr:nvSpPr>
        <xdr:cNvPr id="20" name="矩形 19"/>
        <xdr:cNvSpPr/>
      </xdr:nvSpPr>
      <xdr:spPr>
        <a:xfrm>
          <a:off x="12325350" y="1631315"/>
          <a:ext cx="247650" cy="207645"/>
        </a:xfrm>
        <a:prstGeom prst="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editAs="oneCell">
    <xdr:from>
      <xdr:col>10</xdr:col>
      <xdr:colOff>0</xdr:colOff>
      <xdr:row>4</xdr:row>
      <xdr:rowOff>9524</xdr:rowOff>
    </xdr:from>
    <xdr:to>
      <xdr:col>14</xdr:col>
      <xdr:colOff>19050</xdr:colOff>
      <xdr:row>6</xdr:row>
      <xdr:rowOff>247649</xdr:rowOff>
    </xdr:to>
    <xdr:pic>
      <xdr:nvPicPr>
        <xdr:cNvPr id="21" name="Picture 24"/>
        <xdr:cNvPicPr>
          <a:picLocks noChangeAspect="1" noChangeArrowheads="1"/>
        </xdr:cNvPicPr>
      </xdr:nvPicPr>
      <xdr:blipFill>
        <a:blip r:embed="rId3" cstate="print"/>
        <a:srcRect/>
        <a:stretch>
          <a:fillRect/>
        </a:stretch>
      </xdr:blipFill>
      <xdr:spPr>
        <a:xfrm>
          <a:off x="10296525" y="1053465"/>
          <a:ext cx="3257550" cy="748665"/>
        </a:xfrm>
        <a:prstGeom prst="rect">
          <a:avLst/>
        </a:prstGeom>
        <a:noFill/>
        <a:ln w="1">
          <a:noFill/>
          <a:miter lim="800000"/>
          <a:headEnd/>
          <a:tailEnd type="none" w="med" len="med"/>
        </a:ln>
        <a:effectLst/>
      </xdr:spPr>
    </xdr:pic>
    <xdr:clientData/>
  </xdr:twoCellAnchor>
  <xdr:twoCellAnchor editAs="oneCell">
    <xdr:from>
      <xdr:col>5</xdr:col>
      <xdr:colOff>9525</xdr:colOff>
      <xdr:row>14</xdr:row>
      <xdr:rowOff>9525</xdr:rowOff>
    </xdr:from>
    <xdr:to>
      <xdr:col>12</xdr:col>
      <xdr:colOff>9525</xdr:colOff>
      <xdr:row>35</xdr:row>
      <xdr:rowOff>161925</xdr:rowOff>
    </xdr:to>
    <xdr:pic>
      <xdr:nvPicPr>
        <xdr:cNvPr id="21514" name="Picture 10"/>
        <xdr:cNvPicPr>
          <a:picLocks noChangeAspect="1" noChangeArrowheads="1"/>
        </xdr:cNvPicPr>
      </xdr:nvPicPr>
      <xdr:blipFill>
        <a:blip r:embed="rId4" cstate="print"/>
        <a:srcRect/>
        <a:stretch>
          <a:fillRect/>
        </a:stretch>
      </xdr:blipFill>
      <xdr:spPr>
        <a:xfrm>
          <a:off x="6257925" y="3606800"/>
          <a:ext cx="5667375" cy="5513070"/>
        </a:xfrm>
        <a:prstGeom prst="rect">
          <a:avLst/>
        </a:prstGeom>
        <a:noFill/>
        <a:ln w="1">
          <a:noFill/>
          <a:miter lim="800000"/>
          <a:headEnd/>
          <a:tailEnd type="none" w="med" len="med"/>
        </a:ln>
        <a:effectLst/>
      </xdr:spPr>
    </xdr:pic>
    <xdr:clientData/>
  </xdr:twoCellAnchor>
  <xdr:twoCellAnchor>
    <xdr:from>
      <xdr:col>9</xdr:col>
      <xdr:colOff>457200</xdr:colOff>
      <xdr:row>21</xdr:row>
      <xdr:rowOff>9526</xdr:rowOff>
    </xdr:from>
    <xdr:to>
      <xdr:col>10</xdr:col>
      <xdr:colOff>57150</xdr:colOff>
      <xdr:row>21</xdr:row>
      <xdr:rowOff>133350</xdr:rowOff>
    </xdr:to>
    <xdr:cxnSp>
      <xdr:nvCxnSpPr>
        <xdr:cNvPr id="12" name="直接箭头连接符 11"/>
        <xdr:cNvCxnSpPr/>
      </xdr:nvCxnSpPr>
      <xdr:spPr>
        <a:xfrm flipH="1" flipV="1">
          <a:off x="9944100" y="5393690"/>
          <a:ext cx="409575" cy="123825"/>
        </a:xfrm>
        <a:prstGeom prst="straightConnector1">
          <a:avLst/>
        </a:prstGeom>
        <a:ln>
          <a:tailEnd type="arrow"/>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0</xdr:col>
      <xdr:colOff>9525</xdr:colOff>
      <xdr:row>0</xdr:row>
      <xdr:rowOff>19050</xdr:rowOff>
    </xdr:from>
    <xdr:to>
      <xdr:col>0</xdr:col>
      <xdr:colOff>819151</xdr:colOff>
      <xdr:row>0</xdr:row>
      <xdr:rowOff>257175</xdr:rowOff>
    </xdr:to>
    <xdr:sp>
      <xdr:nvSpPr>
        <xdr:cNvPr id="11" name="五边形 10">
          <a:hlinkClick xmlns:r="http://schemas.openxmlformats.org/officeDocument/2006/relationships" r:id="rId5"/>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mc:AlternateContent xmlns:mc="http://schemas.openxmlformats.org/markup-compatibility/2006">
    <mc:Choice xmlns:a14="http://schemas.microsoft.com/office/drawing/2010/main" Requires="a14">
      <xdr:twoCellAnchor editAs="oneCell">
        <xdr:from>
          <xdr:col>1</xdr:col>
          <xdr:colOff>1386840</xdr:colOff>
          <xdr:row>32</xdr:row>
          <xdr:rowOff>99060</xdr:rowOff>
        </xdr:from>
        <xdr:to>
          <xdr:col>2</xdr:col>
          <xdr:colOff>251460</xdr:colOff>
          <xdr:row>34</xdr:row>
          <xdr:rowOff>38100</xdr:rowOff>
        </xdr:to>
        <xdr:sp>
          <xdr:nvSpPr>
            <xdr:cNvPr id="21506" name="Object 2" hidden="1">
              <a:extLst>
                <a:ext uri="{63B3BB69-23CF-44E3-9099-C40C66FF867C}">
                  <a14:compatExt spid="_x0000_s21506"/>
                </a:ext>
              </a:extLst>
            </xdr:cNvPr>
            <xdr:cNvSpPr/>
          </xdr:nvSpPr>
          <xdr:spPr>
            <a:xfrm>
              <a:off x="2577465" y="8291195"/>
              <a:ext cx="836295" cy="44958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822960</xdr:colOff>
          <xdr:row>32</xdr:row>
          <xdr:rowOff>76200</xdr:rowOff>
        </xdr:from>
        <xdr:to>
          <xdr:col>1</xdr:col>
          <xdr:colOff>297180</xdr:colOff>
          <xdr:row>34</xdr:row>
          <xdr:rowOff>60960</xdr:rowOff>
        </xdr:to>
        <xdr:sp>
          <xdr:nvSpPr>
            <xdr:cNvPr id="21507" name="Object 3" hidden="1">
              <a:extLst>
                <a:ext uri="{63B3BB69-23CF-44E3-9099-C40C66FF867C}">
                  <a14:compatExt spid="_x0000_s21507"/>
                </a:ext>
              </a:extLst>
            </xdr:cNvPr>
            <xdr:cNvSpPr/>
          </xdr:nvSpPr>
          <xdr:spPr>
            <a:xfrm>
              <a:off x="822960" y="8268335"/>
              <a:ext cx="664845" cy="4953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830580</xdr:colOff>
          <xdr:row>34</xdr:row>
          <xdr:rowOff>106680</xdr:rowOff>
        </xdr:from>
        <xdr:to>
          <xdr:col>1</xdr:col>
          <xdr:colOff>563880</xdr:colOff>
          <xdr:row>36</xdr:row>
          <xdr:rowOff>67945</xdr:rowOff>
        </xdr:to>
        <xdr:sp>
          <xdr:nvSpPr>
            <xdr:cNvPr id="21508" name="Object 4" hidden="1">
              <a:extLst>
                <a:ext uri="{63B3BB69-23CF-44E3-9099-C40C66FF867C}">
                  <a14:compatExt spid="_x0000_s21508"/>
                </a:ext>
              </a:extLst>
            </xdr:cNvPr>
            <xdr:cNvSpPr/>
          </xdr:nvSpPr>
          <xdr:spPr>
            <a:xfrm>
              <a:off x="830580" y="8809355"/>
              <a:ext cx="923925" cy="47180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1394460</xdr:colOff>
          <xdr:row>34</xdr:row>
          <xdr:rowOff>91440</xdr:rowOff>
        </xdr:from>
        <xdr:to>
          <xdr:col>2</xdr:col>
          <xdr:colOff>594360</xdr:colOff>
          <xdr:row>36</xdr:row>
          <xdr:rowOff>38100</xdr:rowOff>
        </xdr:to>
        <xdr:sp>
          <xdr:nvSpPr>
            <xdr:cNvPr id="21509" name="Object 5" hidden="1">
              <a:extLst>
                <a:ext uri="{63B3BB69-23CF-44E3-9099-C40C66FF867C}">
                  <a14:compatExt spid="_x0000_s21509"/>
                </a:ext>
              </a:extLst>
            </xdr:cNvPr>
            <xdr:cNvSpPr/>
          </xdr:nvSpPr>
          <xdr:spPr>
            <a:xfrm>
              <a:off x="2585085" y="8794115"/>
              <a:ext cx="1171575" cy="4572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441960</xdr:colOff>
          <xdr:row>36</xdr:row>
          <xdr:rowOff>114300</xdr:rowOff>
        </xdr:from>
        <xdr:to>
          <xdr:col>3</xdr:col>
          <xdr:colOff>982345</xdr:colOff>
          <xdr:row>37</xdr:row>
          <xdr:rowOff>182880</xdr:rowOff>
        </xdr:to>
        <xdr:sp>
          <xdr:nvSpPr>
            <xdr:cNvPr id="21511" name="Object 7" hidden="1">
              <a:extLst>
                <a:ext uri="{63B3BB69-23CF-44E3-9099-C40C66FF867C}">
                  <a14:compatExt spid="_x0000_s21511"/>
                </a:ext>
              </a:extLst>
            </xdr:cNvPr>
            <xdr:cNvSpPr/>
          </xdr:nvSpPr>
          <xdr:spPr>
            <a:xfrm>
              <a:off x="3604260" y="9327515"/>
              <a:ext cx="1731010" cy="32385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830580</xdr:colOff>
          <xdr:row>36</xdr:row>
          <xdr:rowOff>106680</xdr:rowOff>
        </xdr:from>
        <xdr:to>
          <xdr:col>1</xdr:col>
          <xdr:colOff>1386840</xdr:colOff>
          <xdr:row>38</xdr:row>
          <xdr:rowOff>7620</xdr:rowOff>
        </xdr:to>
        <xdr:sp>
          <xdr:nvSpPr>
            <xdr:cNvPr id="21512" name="Object 8" hidden="1">
              <a:extLst>
                <a:ext uri="{63B3BB69-23CF-44E3-9099-C40C66FF867C}">
                  <a14:compatExt spid="_x0000_s21512"/>
                </a:ext>
              </a:extLst>
            </xdr:cNvPr>
            <xdr:cNvSpPr/>
          </xdr:nvSpPr>
          <xdr:spPr>
            <a:xfrm>
              <a:off x="830580" y="9319895"/>
              <a:ext cx="1746885" cy="411480"/>
            </a:xfrm>
            <a:prstGeom prst="rect">
              <a:avLst/>
            </a:prstGeom>
          </xdr:spPr>
        </xdr:sp>
        <xdr:clientData/>
      </xdr:twoCellAnchor>
    </mc:Choice>
    <mc:Fallback/>
  </mc:AlternateContent>
</xdr:wsDr>
</file>

<file path=xl/drawings/drawing24.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9525</xdr:colOff>
      <xdr:row>99</xdr:row>
      <xdr:rowOff>0</xdr:rowOff>
    </xdr:from>
    <xdr:to>
      <xdr:col>12</xdr:col>
      <xdr:colOff>95250</xdr:colOff>
      <xdr:row>114</xdr:row>
      <xdr:rowOff>238125</xdr:rowOff>
    </xdr:to>
    <xdr:pic>
      <xdr:nvPicPr>
        <xdr:cNvPr id="2" name="Picture 17"/>
        <xdr:cNvPicPr>
          <a:picLocks noChangeAspect="1" noChangeArrowheads="1"/>
        </xdr:cNvPicPr>
      </xdr:nvPicPr>
      <xdr:blipFill>
        <a:blip r:embed="rId1" cstate="print"/>
        <a:srcRect/>
        <a:stretch>
          <a:fillRect/>
        </a:stretch>
      </xdr:blipFill>
      <xdr:spPr>
        <a:xfrm>
          <a:off x="6257925" y="25295225"/>
          <a:ext cx="5753100" cy="4067175"/>
        </a:xfrm>
        <a:prstGeom prst="rect">
          <a:avLst/>
        </a:prstGeom>
        <a:noFill/>
        <a:ln w="1">
          <a:noFill/>
          <a:miter lim="800000"/>
          <a:headEnd/>
          <a:tailEnd type="none" w="med" len="med"/>
        </a:ln>
        <a:effectLst/>
      </xdr:spPr>
    </xdr:pic>
    <xdr:clientData/>
  </xdr:twoCellAnchor>
  <xdr:twoCellAnchor editAs="oneCell">
    <xdr:from>
      <xdr:col>20</xdr:col>
      <xdr:colOff>523875</xdr:colOff>
      <xdr:row>45</xdr:row>
      <xdr:rowOff>228600</xdr:rowOff>
    </xdr:from>
    <xdr:to>
      <xdr:col>23</xdr:col>
      <xdr:colOff>342900</xdr:colOff>
      <xdr:row>50</xdr:row>
      <xdr:rowOff>161925</xdr:rowOff>
    </xdr:to>
    <xdr:pic>
      <xdr:nvPicPr>
        <xdr:cNvPr id="3" name="Picture 20"/>
        <xdr:cNvPicPr>
          <a:picLocks noChangeAspect="1" noChangeArrowheads="1"/>
        </xdr:cNvPicPr>
      </xdr:nvPicPr>
      <xdr:blipFill>
        <a:blip r:embed="rId2" cstate="print"/>
        <a:srcRect/>
        <a:stretch>
          <a:fillRect/>
        </a:stretch>
      </xdr:blipFill>
      <xdr:spPr>
        <a:xfrm>
          <a:off x="18611850" y="11739245"/>
          <a:ext cx="1790700" cy="1209675"/>
        </a:xfrm>
        <a:prstGeom prst="rect">
          <a:avLst/>
        </a:prstGeom>
        <a:noFill/>
        <a:ln w="1">
          <a:noFill/>
          <a:miter lim="800000"/>
          <a:headEnd/>
          <a:tailEnd type="none" w="med" len="med"/>
        </a:ln>
        <a:effectLst/>
      </xdr:spPr>
    </xdr:pic>
    <xdr:clientData/>
  </xdr:twoCellAnchor>
  <xdr:twoCellAnchor editAs="oneCell">
    <xdr:from>
      <xdr:col>0</xdr:col>
      <xdr:colOff>9525</xdr:colOff>
      <xdr:row>44</xdr:row>
      <xdr:rowOff>19051</xdr:rowOff>
    </xdr:from>
    <xdr:to>
      <xdr:col>2</xdr:col>
      <xdr:colOff>1181100</xdr:colOff>
      <xdr:row>51</xdr:row>
      <xdr:rowOff>240137</xdr:rowOff>
    </xdr:to>
    <xdr:pic>
      <xdr:nvPicPr>
        <xdr:cNvPr id="24584" name="Picture 8"/>
        <xdr:cNvPicPr>
          <a:picLocks noChangeAspect="1" noChangeArrowheads="1"/>
        </xdr:cNvPicPr>
      </xdr:nvPicPr>
      <xdr:blipFill>
        <a:blip r:embed="rId3" cstate="print"/>
        <a:srcRect/>
        <a:stretch>
          <a:fillRect/>
        </a:stretch>
      </xdr:blipFill>
      <xdr:spPr>
        <a:xfrm>
          <a:off x="9525" y="11274425"/>
          <a:ext cx="4333875" cy="2007870"/>
        </a:xfrm>
        <a:prstGeom prst="rect">
          <a:avLst/>
        </a:prstGeom>
        <a:noFill/>
        <a:ln w="1">
          <a:noFill/>
          <a:miter lim="800000"/>
          <a:headEnd/>
          <a:tailEnd type="none" w="med" len="med"/>
        </a:ln>
        <a:effectLst/>
      </xdr:spPr>
    </xdr:pic>
    <xdr:clientData/>
  </xdr:twoCellAnchor>
  <xdr:twoCellAnchor editAs="oneCell">
    <xdr:from>
      <xdr:col>2</xdr:col>
      <xdr:colOff>28575</xdr:colOff>
      <xdr:row>25</xdr:row>
      <xdr:rowOff>95251</xdr:rowOff>
    </xdr:from>
    <xdr:to>
      <xdr:col>2</xdr:col>
      <xdr:colOff>1047750</xdr:colOff>
      <xdr:row>29</xdr:row>
      <xdr:rowOff>174049</xdr:rowOff>
    </xdr:to>
    <xdr:pic>
      <xdr:nvPicPr>
        <xdr:cNvPr id="24585" name="Picture 9"/>
        <xdr:cNvPicPr>
          <a:picLocks noChangeAspect="1" noChangeArrowheads="1"/>
        </xdr:cNvPicPr>
      </xdr:nvPicPr>
      <xdr:blipFill>
        <a:blip r:embed="rId4" cstate="print"/>
        <a:srcRect/>
        <a:stretch>
          <a:fillRect/>
        </a:stretch>
      </xdr:blipFill>
      <xdr:spPr>
        <a:xfrm>
          <a:off x="3190875" y="6500495"/>
          <a:ext cx="1019175" cy="1099820"/>
        </a:xfrm>
        <a:prstGeom prst="rect">
          <a:avLst/>
        </a:prstGeom>
        <a:noFill/>
        <a:ln w="1">
          <a:noFill/>
          <a:miter lim="800000"/>
          <a:headEnd/>
          <a:tailEnd type="none" w="med" len="med"/>
        </a:ln>
        <a:effectLst/>
      </xdr:spPr>
    </xdr:pic>
    <xdr:clientData/>
  </xdr:twoCellAnchor>
  <xdr:twoCellAnchor editAs="oneCell">
    <xdr:from>
      <xdr:col>2</xdr:col>
      <xdr:colOff>1123950</xdr:colOff>
      <xdr:row>25</xdr:row>
      <xdr:rowOff>161926</xdr:rowOff>
    </xdr:from>
    <xdr:to>
      <xdr:col>3</xdr:col>
      <xdr:colOff>1291974</xdr:colOff>
      <xdr:row>29</xdr:row>
      <xdr:rowOff>180976</xdr:rowOff>
    </xdr:to>
    <xdr:pic>
      <xdr:nvPicPr>
        <xdr:cNvPr id="24586" name="Picture 10"/>
        <xdr:cNvPicPr>
          <a:picLocks noChangeAspect="1" noChangeArrowheads="1"/>
        </xdr:cNvPicPr>
      </xdr:nvPicPr>
      <xdr:blipFill>
        <a:blip r:embed="rId5" cstate="print"/>
        <a:srcRect/>
        <a:stretch>
          <a:fillRect/>
        </a:stretch>
      </xdr:blipFill>
      <xdr:spPr>
        <a:xfrm>
          <a:off x="4286250" y="6567170"/>
          <a:ext cx="1358265" cy="1040130"/>
        </a:xfrm>
        <a:prstGeom prst="rect">
          <a:avLst/>
        </a:prstGeom>
        <a:noFill/>
        <a:ln w="1">
          <a:noFill/>
          <a:miter lim="800000"/>
          <a:headEnd/>
          <a:tailEnd type="none" w="med" len="med"/>
        </a:ln>
        <a:effectLst/>
      </xdr:spPr>
    </xdr:pic>
    <xdr:clientData/>
  </xdr:twoCellAnchor>
  <xdr:twoCellAnchor editAs="oneCell">
    <xdr:from>
      <xdr:col>2</xdr:col>
      <xdr:colOff>28575</xdr:colOff>
      <xdr:row>30</xdr:row>
      <xdr:rowOff>9525</xdr:rowOff>
    </xdr:from>
    <xdr:to>
      <xdr:col>2</xdr:col>
      <xdr:colOff>1085850</xdr:colOff>
      <xdr:row>33</xdr:row>
      <xdr:rowOff>233946</xdr:rowOff>
    </xdr:to>
    <xdr:pic>
      <xdr:nvPicPr>
        <xdr:cNvPr id="24587" name="Picture 11"/>
        <xdr:cNvPicPr>
          <a:picLocks noChangeAspect="1" noChangeArrowheads="1"/>
        </xdr:cNvPicPr>
      </xdr:nvPicPr>
      <xdr:blipFill>
        <a:blip r:embed="rId6" cstate="print"/>
        <a:srcRect/>
        <a:stretch>
          <a:fillRect/>
        </a:stretch>
      </xdr:blipFill>
      <xdr:spPr>
        <a:xfrm>
          <a:off x="3190875" y="7691120"/>
          <a:ext cx="1057275" cy="989965"/>
        </a:xfrm>
        <a:prstGeom prst="rect">
          <a:avLst/>
        </a:prstGeom>
        <a:noFill/>
        <a:ln w="1">
          <a:noFill/>
          <a:miter lim="800000"/>
          <a:headEnd/>
          <a:tailEnd type="none" w="med" len="med"/>
        </a:ln>
        <a:effectLst/>
      </xdr:spPr>
    </xdr:pic>
    <xdr:clientData/>
  </xdr:twoCellAnchor>
  <xdr:twoCellAnchor editAs="oneCell">
    <xdr:from>
      <xdr:col>2</xdr:col>
      <xdr:colOff>1085850</xdr:colOff>
      <xdr:row>30</xdr:row>
      <xdr:rowOff>85726</xdr:rowOff>
    </xdr:from>
    <xdr:to>
      <xdr:col>4</xdr:col>
      <xdr:colOff>0</xdr:colOff>
      <xdr:row>33</xdr:row>
      <xdr:rowOff>48916</xdr:rowOff>
    </xdr:to>
    <xdr:pic>
      <xdr:nvPicPr>
        <xdr:cNvPr id="24588" name="Picture 12"/>
        <xdr:cNvPicPr>
          <a:picLocks noChangeAspect="1" noChangeArrowheads="1"/>
        </xdr:cNvPicPr>
      </xdr:nvPicPr>
      <xdr:blipFill>
        <a:blip r:embed="rId7" cstate="print"/>
        <a:srcRect/>
        <a:stretch>
          <a:fillRect/>
        </a:stretch>
      </xdr:blipFill>
      <xdr:spPr>
        <a:xfrm>
          <a:off x="4248150" y="7767320"/>
          <a:ext cx="1400175" cy="728980"/>
        </a:xfrm>
        <a:prstGeom prst="rect">
          <a:avLst/>
        </a:prstGeom>
        <a:noFill/>
        <a:ln w="1">
          <a:noFill/>
          <a:miter lim="800000"/>
          <a:headEnd/>
          <a:tailEnd type="none" w="med" len="med"/>
        </a:ln>
        <a:effectLst/>
      </xdr:spPr>
    </xdr:pic>
    <xdr:clientData/>
  </xdr:twoCellAnchor>
  <xdr:twoCellAnchor editAs="oneCell">
    <xdr:from>
      <xdr:col>2</xdr:col>
      <xdr:colOff>35598</xdr:colOff>
      <xdr:row>34</xdr:row>
      <xdr:rowOff>19050</xdr:rowOff>
    </xdr:from>
    <xdr:to>
      <xdr:col>2</xdr:col>
      <xdr:colOff>1152525</xdr:colOff>
      <xdr:row>37</xdr:row>
      <xdr:rowOff>238125</xdr:rowOff>
    </xdr:to>
    <xdr:pic>
      <xdr:nvPicPr>
        <xdr:cNvPr id="24589" name="Picture 13"/>
        <xdr:cNvPicPr>
          <a:picLocks noChangeAspect="1" noChangeArrowheads="1"/>
        </xdr:cNvPicPr>
      </xdr:nvPicPr>
      <xdr:blipFill>
        <a:blip r:embed="rId8" cstate="print"/>
        <a:srcRect/>
        <a:stretch>
          <a:fillRect/>
        </a:stretch>
      </xdr:blipFill>
      <xdr:spPr>
        <a:xfrm>
          <a:off x="3197860" y="8721725"/>
          <a:ext cx="1116965" cy="984885"/>
        </a:xfrm>
        <a:prstGeom prst="rect">
          <a:avLst/>
        </a:prstGeom>
        <a:noFill/>
        <a:ln w="1">
          <a:noFill/>
          <a:miter lim="800000"/>
          <a:headEnd/>
          <a:tailEnd type="none" w="med" len="med"/>
        </a:ln>
        <a:effectLst/>
      </xdr:spPr>
    </xdr:pic>
    <xdr:clientData/>
  </xdr:twoCellAnchor>
  <xdr:twoCellAnchor editAs="oneCell">
    <xdr:from>
      <xdr:col>2</xdr:col>
      <xdr:colOff>1181101</xdr:colOff>
      <xdr:row>34</xdr:row>
      <xdr:rowOff>66675</xdr:rowOff>
    </xdr:from>
    <xdr:to>
      <xdr:col>3</xdr:col>
      <xdr:colOff>1270318</xdr:colOff>
      <xdr:row>37</xdr:row>
      <xdr:rowOff>152400</xdr:rowOff>
    </xdr:to>
    <xdr:pic>
      <xdr:nvPicPr>
        <xdr:cNvPr id="24590" name="Picture 14"/>
        <xdr:cNvPicPr>
          <a:picLocks noChangeAspect="1" noChangeArrowheads="1"/>
        </xdr:cNvPicPr>
      </xdr:nvPicPr>
      <xdr:blipFill>
        <a:blip r:embed="rId9" cstate="print"/>
        <a:srcRect/>
        <a:stretch>
          <a:fillRect/>
        </a:stretch>
      </xdr:blipFill>
      <xdr:spPr>
        <a:xfrm>
          <a:off x="4343400" y="8769350"/>
          <a:ext cx="1279525" cy="851535"/>
        </a:xfrm>
        <a:prstGeom prst="rect">
          <a:avLst/>
        </a:prstGeom>
        <a:noFill/>
        <a:ln w="1">
          <a:noFill/>
          <a:miter lim="800000"/>
          <a:headEnd/>
          <a:tailEnd type="none" w="med" len="med"/>
        </a:ln>
        <a:effectLst/>
      </xdr:spPr>
    </xdr:pic>
    <xdr:clientData/>
  </xdr:twoCellAnchor>
  <xdr:twoCellAnchor editAs="oneCell">
    <xdr:from>
      <xdr:col>2</xdr:col>
      <xdr:colOff>28575</xdr:colOff>
      <xdr:row>38</xdr:row>
      <xdr:rowOff>95250</xdr:rowOff>
    </xdr:from>
    <xdr:to>
      <xdr:col>3</xdr:col>
      <xdr:colOff>1250467</xdr:colOff>
      <xdr:row>42</xdr:row>
      <xdr:rowOff>168975</xdr:rowOff>
    </xdr:to>
    <xdr:pic>
      <xdr:nvPicPr>
        <xdr:cNvPr id="24591" name="Picture 15"/>
        <xdr:cNvPicPr>
          <a:picLocks noChangeAspect="1" noChangeArrowheads="1"/>
        </xdr:cNvPicPr>
      </xdr:nvPicPr>
      <xdr:blipFill>
        <a:blip r:embed="rId10" cstate="print"/>
        <a:srcRect/>
        <a:stretch>
          <a:fillRect/>
        </a:stretch>
      </xdr:blipFill>
      <xdr:spPr>
        <a:xfrm>
          <a:off x="3190875" y="9819005"/>
          <a:ext cx="2412365" cy="109474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2" name="五边形 11">
          <a:hlinkClick xmlns:r="http://schemas.openxmlformats.org/officeDocument/2006/relationships" r:id="rId11"/>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5.xml><?xml version="1.0" encoding="utf-8"?>
<xdr:wsDr xmlns:xdr="http://schemas.openxmlformats.org/drawingml/2006/spreadsheetDrawing" xmlns:r="http://schemas.openxmlformats.org/officeDocument/2006/relationships" xmlns:a="http://schemas.openxmlformats.org/drawingml/2006/main">
  <xdr:twoCellAnchor>
    <xdr:from>
      <xdr:col>0</xdr:col>
      <xdr:colOff>0</xdr:colOff>
      <xdr:row>33</xdr:row>
      <xdr:rowOff>28575</xdr:rowOff>
    </xdr:from>
    <xdr:to>
      <xdr:col>3</xdr:col>
      <xdr:colOff>38100</xdr:colOff>
      <xdr:row>48</xdr:row>
      <xdr:rowOff>152400</xdr:rowOff>
    </xdr:to>
    <xdr:pic>
      <xdr:nvPicPr>
        <xdr:cNvPr id="12289" name="图片 15"/>
        <xdr:cNvPicPr>
          <a:picLocks noChangeAspect="1" noChangeArrowheads="1"/>
        </xdr:cNvPicPr>
      </xdr:nvPicPr>
      <xdr:blipFill>
        <a:blip r:embed="rId1" cstate="print"/>
        <a:srcRect/>
        <a:stretch>
          <a:fillRect/>
        </a:stretch>
      </xdr:blipFill>
      <xdr:spPr>
        <a:xfrm>
          <a:off x="0" y="8475980"/>
          <a:ext cx="3638550" cy="3952875"/>
        </a:xfrm>
        <a:prstGeom prst="rect">
          <a:avLst/>
        </a:prstGeom>
        <a:noFill/>
        <a:ln w="9525">
          <a:noFill/>
          <a:miter lim="800000"/>
          <a:headEnd/>
          <a:tailEnd/>
        </a:ln>
      </xdr:spPr>
    </xdr:pic>
    <xdr:clientData/>
  </xdr:twoCellAnchor>
  <xdr:twoCellAnchor>
    <xdr:from>
      <xdr:col>2</xdr:col>
      <xdr:colOff>657225</xdr:colOff>
      <xdr:row>33</xdr:row>
      <xdr:rowOff>0</xdr:rowOff>
    </xdr:from>
    <xdr:to>
      <xdr:col>6</xdr:col>
      <xdr:colOff>666750</xdr:colOff>
      <xdr:row>45</xdr:row>
      <xdr:rowOff>66675</xdr:rowOff>
    </xdr:to>
    <xdr:pic>
      <xdr:nvPicPr>
        <xdr:cNvPr id="12290" name="图片 16"/>
        <xdr:cNvPicPr>
          <a:picLocks noChangeAspect="1" noChangeArrowheads="1"/>
        </xdr:cNvPicPr>
      </xdr:nvPicPr>
      <xdr:blipFill>
        <a:blip r:embed="rId2" cstate="print"/>
        <a:srcRect/>
        <a:stretch>
          <a:fillRect/>
        </a:stretch>
      </xdr:blipFill>
      <xdr:spPr>
        <a:xfrm>
          <a:off x="3200400" y="8447405"/>
          <a:ext cx="3876675" cy="3129915"/>
        </a:xfrm>
        <a:prstGeom prst="rect">
          <a:avLst/>
        </a:prstGeom>
        <a:noFill/>
        <a:ln w="9525">
          <a:noFill/>
          <a:miter lim="800000"/>
          <a:headEnd/>
          <a:tailEnd/>
        </a:ln>
      </xdr:spPr>
    </xdr:pic>
    <xdr:clientData/>
  </xdr:twoCellAnchor>
  <xdr:twoCellAnchor editAs="oneCell">
    <xdr:from>
      <xdr:col>8</xdr:col>
      <xdr:colOff>9525</xdr:colOff>
      <xdr:row>1</xdr:row>
      <xdr:rowOff>0</xdr:rowOff>
    </xdr:from>
    <xdr:to>
      <xdr:col>11</xdr:col>
      <xdr:colOff>314325</xdr:colOff>
      <xdr:row>7</xdr:row>
      <xdr:rowOff>27167</xdr:rowOff>
    </xdr:to>
    <xdr:pic>
      <xdr:nvPicPr>
        <xdr:cNvPr id="12295" name="Picture 7"/>
        <xdr:cNvPicPr>
          <a:picLocks noChangeAspect="1" noChangeArrowheads="1"/>
        </xdr:cNvPicPr>
      </xdr:nvPicPr>
      <xdr:blipFill>
        <a:blip r:embed="rId3" cstate="print"/>
        <a:srcRect/>
        <a:stretch>
          <a:fillRect/>
        </a:stretch>
      </xdr:blipFill>
      <xdr:spPr>
        <a:xfrm>
          <a:off x="8143875" y="278765"/>
          <a:ext cx="2600325" cy="1558290"/>
        </a:xfrm>
        <a:prstGeom prst="rect">
          <a:avLst/>
        </a:prstGeom>
        <a:noFill/>
        <a:ln w="1">
          <a:noFill/>
          <a:miter lim="800000"/>
          <a:headEnd/>
          <a:tailEnd type="none" w="med" len="med"/>
        </a:ln>
        <a:effectLst/>
      </xdr:spPr>
    </xdr:pic>
    <xdr:clientData/>
  </xdr:twoCellAnchor>
  <xdr:twoCellAnchor editAs="oneCell">
    <xdr:from>
      <xdr:col>8</xdr:col>
      <xdr:colOff>19050</xdr:colOff>
      <xdr:row>7</xdr:row>
      <xdr:rowOff>0</xdr:rowOff>
    </xdr:from>
    <xdr:to>
      <xdr:col>14</xdr:col>
      <xdr:colOff>426520</xdr:colOff>
      <xdr:row>15</xdr:row>
      <xdr:rowOff>114300</xdr:rowOff>
    </xdr:to>
    <xdr:pic>
      <xdr:nvPicPr>
        <xdr:cNvPr id="12296" name="Picture 8"/>
        <xdr:cNvPicPr>
          <a:picLocks noChangeAspect="1" noChangeArrowheads="1"/>
        </xdr:cNvPicPr>
      </xdr:nvPicPr>
      <xdr:blipFill>
        <a:blip r:embed="rId4" cstate="print"/>
        <a:srcRect/>
        <a:stretch>
          <a:fillRect/>
        </a:stretch>
      </xdr:blipFill>
      <xdr:spPr>
        <a:xfrm>
          <a:off x="8153400" y="1810385"/>
          <a:ext cx="4474210" cy="2156460"/>
        </a:xfrm>
        <a:prstGeom prst="rect">
          <a:avLst/>
        </a:prstGeom>
        <a:noFill/>
        <a:ln w="1">
          <a:noFill/>
          <a:miter lim="800000"/>
          <a:headEnd/>
          <a:tailEnd type="none" w="med" len="med"/>
        </a:ln>
        <a:effectLst/>
      </xdr:spPr>
    </xdr:pic>
    <xdr:clientData/>
  </xdr:twoCellAnchor>
  <xdr:twoCellAnchor editAs="oneCell">
    <xdr:from>
      <xdr:col>7</xdr:col>
      <xdr:colOff>800100</xdr:colOff>
      <xdr:row>15</xdr:row>
      <xdr:rowOff>104775</xdr:rowOff>
    </xdr:from>
    <xdr:to>
      <xdr:col>12</xdr:col>
      <xdr:colOff>95250</xdr:colOff>
      <xdr:row>24</xdr:row>
      <xdr:rowOff>4614</xdr:rowOff>
    </xdr:to>
    <xdr:pic>
      <xdr:nvPicPr>
        <xdr:cNvPr id="12297" name="Picture 9"/>
        <xdr:cNvPicPr>
          <a:picLocks noChangeAspect="1" noChangeArrowheads="1"/>
        </xdr:cNvPicPr>
      </xdr:nvPicPr>
      <xdr:blipFill>
        <a:blip r:embed="rId5" cstate="print"/>
        <a:srcRect/>
        <a:stretch>
          <a:fillRect/>
        </a:stretch>
      </xdr:blipFill>
      <xdr:spPr>
        <a:xfrm>
          <a:off x="8124825" y="3957320"/>
          <a:ext cx="2981325" cy="2197100"/>
        </a:xfrm>
        <a:prstGeom prst="rect">
          <a:avLst/>
        </a:prstGeom>
        <a:noFill/>
        <a:ln w="1">
          <a:noFill/>
          <a:miter lim="800000"/>
          <a:headEnd/>
          <a:tailEnd type="none" w="med" len="med"/>
        </a:ln>
        <a:effectLst/>
      </xdr:spPr>
    </xdr:pic>
    <xdr:clientData/>
  </xdr:twoCellAnchor>
  <xdr:twoCellAnchor editAs="oneCell">
    <xdr:from>
      <xdr:col>11</xdr:col>
      <xdr:colOff>419100</xdr:colOff>
      <xdr:row>0</xdr:row>
      <xdr:rowOff>0</xdr:rowOff>
    </xdr:from>
    <xdr:to>
      <xdr:col>14</xdr:col>
      <xdr:colOff>142875</xdr:colOff>
      <xdr:row>6</xdr:row>
      <xdr:rowOff>183178</xdr:rowOff>
    </xdr:to>
    <xdr:pic>
      <xdr:nvPicPr>
        <xdr:cNvPr id="12298" name="Picture 10"/>
        <xdr:cNvPicPr>
          <a:picLocks noChangeAspect="1" noChangeArrowheads="1"/>
        </xdr:cNvPicPr>
      </xdr:nvPicPr>
      <xdr:blipFill>
        <a:blip r:embed="rId6" cstate="print"/>
        <a:srcRect/>
        <a:stretch>
          <a:fillRect/>
        </a:stretch>
      </xdr:blipFill>
      <xdr:spPr>
        <a:xfrm>
          <a:off x="10848975" y="0"/>
          <a:ext cx="1495425" cy="1737995"/>
        </a:xfrm>
        <a:prstGeom prst="rect">
          <a:avLst/>
        </a:prstGeom>
        <a:noFill/>
        <a:ln w="1">
          <a:noFill/>
          <a:miter lim="800000"/>
          <a:headEnd/>
          <a:tailEnd type="none" w="med" len="med"/>
        </a:ln>
        <a:effectLst/>
      </xdr:spPr>
    </xdr:pic>
    <xdr:clientData/>
  </xdr:twoCellAnchor>
  <xdr:twoCellAnchor editAs="oneCell">
    <xdr:from>
      <xdr:col>0</xdr:col>
      <xdr:colOff>0</xdr:colOff>
      <xdr:row>50</xdr:row>
      <xdr:rowOff>0</xdr:rowOff>
    </xdr:from>
    <xdr:to>
      <xdr:col>2</xdr:col>
      <xdr:colOff>400050</xdr:colOff>
      <xdr:row>52</xdr:row>
      <xdr:rowOff>209550</xdr:rowOff>
    </xdr:to>
    <xdr:pic>
      <xdr:nvPicPr>
        <xdr:cNvPr id="12301" name="Picture 13"/>
        <xdr:cNvPicPr>
          <a:picLocks noChangeAspect="1" noChangeArrowheads="1"/>
        </xdr:cNvPicPr>
      </xdr:nvPicPr>
      <xdr:blipFill>
        <a:blip r:embed="rId7" cstate="print"/>
        <a:srcRect/>
        <a:stretch>
          <a:fillRect/>
        </a:stretch>
      </xdr:blipFill>
      <xdr:spPr>
        <a:xfrm>
          <a:off x="0" y="12786995"/>
          <a:ext cx="2943225" cy="720090"/>
        </a:xfrm>
        <a:prstGeom prst="rect">
          <a:avLst/>
        </a:prstGeom>
        <a:noFill/>
        <a:ln w="1">
          <a:noFill/>
          <a:miter lim="800000"/>
          <a:headEnd/>
          <a:tailEnd type="none" w="med" len="med"/>
        </a:ln>
        <a:effectLst/>
      </xdr:spPr>
    </xdr:pic>
    <xdr:clientData/>
  </xdr:twoCellAnchor>
  <xdr:twoCellAnchor editAs="oneCell">
    <xdr:from>
      <xdr:col>0</xdr:col>
      <xdr:colOff>0</xdr:colOff>
      <xdr:row>53</xdr:row>
      <xdr:rowOff>0</xdr:rowOff>
    </xdr:from>
    <xdr:to>
      <xdr:col>1</xdr:col>
      <xdr:colOff>1419225</xdr:colOff>
      <xdr:row>55</xdr:row>
      <xdr:rowOff>228600</xdr:rowOff>
    </xdr:to>
    <xdr:pic>
      <xdr:nvPicPr>
        <xdr:cNvPr id="12302" name="Picture 14"/>
        <xdr:cNvPicPr>
          <a:picLocks noChangeAspect="1" noChangeArrowheads="1"/>
        </xdr:cNvPicPr>
      </xdr:nvPicPr>
      <xdr:blipFill>
        <a:blip r:embed="rId8" cstate="print"/>
        <a:srcRect/>
        <a:stretch>
          <a:fillRect/>
        </a:stretch>
      </xdr:blipFill>
      <xdr:spPr>
        <a:xfrm>
          <a:off x="0" y="13552805"/>
          <a:ext cx="2438400" cy="739140"/>
        </a:xfrm>
        <a:prstGeom prst="rect">
          <a:avLst/>
        </a:prstGeom>
        <a:noFill/>
        <a:ln w="1">
          <a:noFill/>
          <a:miter lim="800000"/>
          <a:headEnd/>
          <a:tailEnd type="none" w="med" len="med"/>
        </a:ln>
        <a:effectLst/>
      </xdr:spPr>
    </xdr:pic>
    <xdr:clientData/>
  </xdr:twoCellAnchor>
  <xdr:twoCellAnchor>
    <xdr:from>
      <xdr:col>1</xdr:col>
      <xdr:colOff>838200</xdr:colOff>
      <xdr:row>50</xdr:row>
      <xdr:rowOff>28575</xdr:rowOff>
    </xdr:from>
    <xdr:to>
      <xdr:col>1</xdr:col>
      <xdr:colOff>1133475</xdr:colOff>
      <xdr:row>51</xdr:row>
      <xdr:rowOff>66675</xdr:rowOff>
    </xdr:to>
    <xdr:sp>
      <xdr:nvSpPr>
        <xdr:cNvPr id="36" name="矩形 35"/>
        <xdr:cNvSpPr/>
      </xdr:nvSpPr>
      <xdr:spPr>
        <a:xfrm>
          <a:off x="1857375" y="12815570"/>
          <a:ext cx="295275" cy="29337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rtlCol="0" anchor="ctr"/>
        <a:lstStyle/>
        <a:p>
          <a:pPr algn="ctr"/>
          <a:endParaRPr lang="zh-CN" altLang="en-US" sz="1100"/>
        </a:p>
      </xdr:txBody>
    </xdr:sp>
    <xdr:clientData/>
  </xdr:twoCellAnchor>
  <xdr:twoCellAnchor>
    <xdr:from>
      <xdr:col>0</xdr:col>
      <xdr:colOff>247650</xdr:colOff>
      <xdr:row>52</xdr:row>
      <xdr:rowOff>38100</xdr:rowOff>
    </xdr:from>
    <xdr:to>
      <xdr:col>1</xdr:col>
      <xdr:colOff>57150</xdr:colOff>
      <xdr:row>53</xdr:row>
      <xdr:rowOff>171451</xdr:rowOff>
    </xdr:to>
    <xdr:cxnSp>
      <xdr:nvCxnSpPr>
        <xdr:cNvPr id="39" name="直接箭头连接符 38"/>
        <xdr:cNvCxnSpPr/>
      </xdr:nvCxnSpPr>
      <xdr:spPr>
        <a:xfrm flipH="1" flipV="1">
          <a:off x="247650" y="13335635"/>
          <a:ext cx="828675" cy="388620"/>
        </a:xfrm>
        <a:prstGeom prst="straightConnector1">
          <a:avLst/>
        </a:prstGeom>
        <a:ln w="28575">
          <a:solidFill>
            <a:srgbClr val="FF0000"/>
          </a:solidFill>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0</xdr:col>
      <xdr:colOff>9525</xdr:colOff>
      <xdr:row>0</xdr:row>
      <xdr:rowOff>19050</xdr:rowOff>
    </xdr:from>
    <xdr:to>
      <xdr:col>0</xdr:col>
      <xdr:colOff>819151</xdr:colOff>
      <xdr:row>0</xdr:row>
      <xdr:rowOff>257175</xdr:rowOff>
    </xdr:to>
    <xdr:sp>
      <xdr:nvSpPr>
        <xdr:cNvPr id="12" name="五边形 11">
          <a:hlinkClick xmlns:r="http://schemas.openxmlformats.org/officeDocument/2006/relationships" r:id="rId9"/>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6.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xdr:colOff>
      <xdr:row>54</xdr:row>
      <xdr:rowOff>9525</xdr:rowOff>
    </xdr:from>
    <xdr:to>
      <xdr:col>1</xdr:col>
      <xdr:colOff>1439072</xdr:colOff>
      <xdr:row>63</xdr:row>
      <xdr:rowOff>76200</xdr:rowOff>
    </xdr:to>
    <xdr:pic>
      <xdr:nvPicPr>
        <xdr:cNvPr id="13317" name="Picture 5"/>
        <xdr:cNvPicPr>
          <a:picLocks noChangeAspect="1" noChangeArrowheads="1"/>
        </xdr:cNvPicPr>
      </xdr:nvPicPr>
      <xdr:blipFill>
        <a:blip r:embed="rId1" cstate="print"/>
        <a:srcRect/>
        <a:stretch>
          <a:fillRect/>
        </a:stretch>
      </xdr:blipFill>
      <xdr:spPr>
        <a:xfrm>
          <a:off x="0" y="13817600"/>
          <a:ext cx="2458085" cy="2364105"/>
        </a:xfrm>
        <a:prstGeom prst="rect">
          <a:avLst/>
        </a:prstGeom>
        <a:noFill/>
        <a:ln w="1">
          <a:noFill/>
          <a:miter lim="800000"/>
          <a:headEnd/>
          <a:tailEnd type="none" w="med" len="med"/>
        </a:ln>
        <a:effectLst/>
      </xdr:spPr>
    </xdr:pic>
    <xdr:clientData/>
  </xdr:twoCellAnchor>
  <xdr:twoCellAnchor editAs="oneCell">
    <xdr:from>
      <xdr:col>1</xdr:col>
      <xdr:colOff>1390651</xdr:colOff>
      <xdr:row>54</xdr:row>
      <xdr:rowOff>19051</xdr:rowOff>
    </xdr:from>
    <xdr:to>
      <xdr:col>4</xdr:col>
      <xdr:colOff>295276</xdr:colOff>
      <xdr:row>61</xdr:row>
      <xdr:rowOff>120005</xdr:rowOff>
    </xdr:to>
    <xdr:pic>
      <xdr:nvPicPr>
        <xdr:cNvPr id="13318" name="Picture 6"/>
        <xdr:cNvPicPr>
          <a:picLocks noChangeAspect="1" noChangeArrowheads="1"/>
        </xdr:cNvPicPr>
      </xdr:nvPicPr>
      <xdr:blipFill>
        <a:blip r:embed="rId2" cstate="print"/>
        <a:srcRect/>
        <a:stretch>
          <a:fillRect/>
        </a:stretch>
      </xdr:blipFill>
      <xdr:spPr>
        <a:xfrm>
          <a:off x="2409825" y="13827125"/>
          <a:ext cx="2819400" cy="1887220"/>
        </a:xfrm>
        <a:prstGeom prst="rect">
          <a:avLst/>
        </a:prstGeom>
        <a:noFill/>
        <a:ln w="1">
          <a:noFill/>
          <a:miter lim="800000"/>
          <a:headEnd/>
          <a:tailEnd type="none" w="med" len="med"/>
        </a:ln>
        <a:effectLst/>
      </xdr:spPr>
    </xdr:pic>
    <xdr:clientData/>
  </xdr:twoCellAnchor>
  <xdr:twoCellAnchor editAs="oneCell">
    <xdr:from>
      <xdr:col>0</xdr:col>
      <xdr:colOff>76200</xdr:colOff>
      <xdr:row>65</xdr:row>
      <xdr:rowOff>47625</xdr:rowOff>
    </xdr:from>
    <xdr:to>
      <xdr:col>2</xdr:col>
      <xdr:colOff>466725</xdr:colOff>
      <xdr:row>68</xdr:row>
      <xdr:rowOff>76200</xdr:rowOff>
    </xdr:to>
    <xdr:pic>
      <xdr:nvPicPr>
        <xdr:cNvPr id="13319" name="Picture 7"/>
        <xdr:cNvPicPr>
          <a:picLocks noChangeAspect="1" noChangeArrowheads="1"/>
        </xdr:cNvPicPr>
      </xdr:nvPicPr>
      <xdr:blipFill>
        <a:blip r:embed="rId3" cstate="print"/>
        <a:srcRect/>
        <a:stretch>
          <a:fillRect/>
        </a:stretch>
      </xdr:blipFill>
      <xdr:spPr>
        <a:xfrm>
          <a:off x="76200" y="16663670"/>
          <a:ext cx="2933700" cy="794385"/>
        </a:xfrm>
        <a:prstGeom prst="rect">
          <a:avLst/>
        </a:prstGeom>
        <a:noFill/>
        <a:ln w="1">
          <a:noFill/>
          <a:miter lim="800000"/>
          <a:headEnd/>
          <a:tailEnd type="none" w="med" len="med"/>
        </a:ln>
        <a:effectLst/>
      </xdr:spPr>
    </xdr:pic>
    <xdr:clientData/>
  </xdr:twoCellAnchor>
  <xdr:twoCellAnchor editAs="oneCell">
    <xdr:from>
      <xdr:col>5</xdr:col>
      <xdr:colOff>9525</xdr:colOff>
      <xdr:row>51</xdr:row>
      <xdr:rowOff>9525</xdr:rowOff>
    </xdr:from>
    <xdr:to>
      <xdr:col>7</xdr:col>
      <xdr:colOff>57150</xdr:colOff>
      <xdr:row>66</xdr:row>
      <xdr:rowOff>209550</xdr:rowOff>
    </xdr:to>
    <xdr:pic>
      <xdr:nvPicPr>
        <xdr:cNvPr id="13321" name="Picture 9"/>
        <xdr:cNvPicPr>
          <a:picLocks noChangeAspect="1" noChangeArrowheads="1"/>
        </xdr:cNvPicPr>
      </xdr:nvPicPr>
      <xdr:blipFill>
        <a:blip r:embed="rId4" cstate="print"/>
        <a:srcRect/>
        <a:stretch>
          <a:fillRect/>
        </a:stretch>
      </xdr:blipFill>
      <xdr:spPr>
        <a:xfrm>
          <a:off x="5324475" y="13051790"/>
          <a:ext cx="2152650" cy="4029075"/>
        </a:xfrm>
        <a:prstGeom prst="rect">
          <a:avLst/>
        </a:prstGeom>
        <a:noFill/>
        <a:ln w="1">
          <a:noFill/>
          <a:miter lim="800000"/>
          <a:headEnd/>
          <a:tailEnd type="none" w="med" len="med"/>
        </a:ln>
        <a:effectLst/>
      </xdr:spPr>
    </xdr:pic>
    <xdr:clientData/>
  </xdr:twoCellAnchor>
  <xdr:twoCellAnchor editAs="oneCell">
    <xdr:from>
      <xdr:col>7</xdr:col>
      <xdr:colOff>123825</xdr:colOff>
      <xdr:row>51</xdr:row>
      <xdr:rowOff>9525</xdr:rowOff>
    </xdr:from>
    <xdr:to>
      <xdr:col>14</xdr:col>
      <xdr:colOff>409575</xdr:colOff>
      <xdr:row>66</xdr:row>
      <xdr:rowOff>209550</xdr:rowOff>
    </xdr:to>
    <xdr:pic>
      <xdr:nvPicPr>
        <xdr:cNvPr id="13322" name="Picture 10"/>
        <xdr:cNvPicPr>
          <a:picLocks noChangeAspect="1" noChangeArrowheads="1"/>
        </xdr:cNvPicPr>
      </xdr:nvPicPr>
      <xdr:blipFill>
        <a:blip r:embed="rId5" cstate="print"/>
        <a:srcRect/>
        <a:stretch>
          <a:fillRect/>
        </a:stretch>
      </xdr:blipFill>
      <xdr:spPr>
        <a:xfrm>
          <a:off x="7543800" y="13051790"/>
          <a:ext cx="5162550" cy="4029075"/>
        </a:xfrm>
        <a:prstGeom prst="rect">
          <a:avLst/>
        </a:prstGeom>
        <a:noFill/>
        <a:ln w="1">
          <a:noFill/>
          <a:miter lim="800000"/>
          <a:headEnd/>
          <a:tailEnd type="none" w="med" len="med"/>
        </a:ln>
        <a:effectLst/>
      </xdr:spPr>
    </xdr:pic>
    <xdr:clientData/>
  </xdr:twoCellAnchor>
  <xdr:twoCellAnchor editAs="oneCell">
    <xdr:from>
      <xdr:col>0</xdr:col>
      <xdr:colOff>0</xdr:colOff>
      <xdr:row>79</xdr:row>
      <xdr:rowOff>95250</xdr:rowOff>
    </xdr:from>
    <xdr:to>
      <xdr:col>3</xdr:col>
      <xdr:colOff>609600</xdr:colOff>
      <xdr:row>83</xdr:row>
      <xdr:rowOff>180975</xdr:rowOff>
    </xdr:to>
    <xdr:pic>
      <xdr:nvPicPr>
        <xdr:cNvPr id="13326" name="Picture 14"/>
        <xdr:cNvPicPr>
          <a:picLocks noChangeAspect="1" noChangeArrowheads="1"/>
        </xdr:cNvPicPr>
      </xdr:nvPicPr>
      <xdr:blipFill>
        <a:blip r:embed="rId6" cstate="print"/>
        <a:srcRect/>
        <a:stretch>
          <a:fillRect/>
        </a:stretch>
      </xdr:blipFill>
      <xdr:spPr>
        <a:xfrm>
          <a:off x="0" y="20285075"/>
          <a:ext cx="4210050" cy="1106805"/>
        </a:xfrm>
        <a:prstGeom prst="rect">
          <a:avLst/>
        </a:prstGeom>
        <a:noFill/>
        <a:ln w="1">
          <a:noFill/>
          <a:miter lim="800000"/>
          <a:headEnd/>
          <a:tailEnd type="none" w="med" len="med"/>
        </a:ln>
        <a:effectLst/>
      </xdr:spPr>
    </xdr:pic>
    <xdr:clientData/>
  </xdr:twoCellAnchor>
  <xdr:twoCellAnchor editAs="oneCell">
    <xdr:from>
      <xdr:col>0</xdr:col>
      <xdr:colOff>0</xdr:colOff>
      <xdr:row>74</xdr:row>
      <xdr:rowOff>133350</xdr:rowOff>
    </xdr:from>
    <xdr:to>
      <xdr:col>3</xdr:col>
      <xdr:colOff>885825</xdr:colOff>
      <xdr:row>79</xdr:row>
      <xdr:rowOff>28575</xdr:rowOff>
    </xdr:to>
    <xdr:pic>
      <xdr:nvPicPr>
        <xdr:cNvPr id="13327" name="Picture 15"/>
        <xdr:cNvPicPr>
          <a:picLocks noChangeAspect="1" noChangeArrowheads="1"/>
        </xdr:cNvPicPr>
      </xdr:nvPicPr>
      <xdr:blipFill>
        <a:blip r:embed="rId7" cstate="print"/>
        <a:srcRect/>
        <a:stretch>
          <a:fillRect/>
        </a:stretch>
      </xdr:blipFill>
      <xdr:spPr>
        <a:xfrm>
          <a:off x="0" y="19046825"/>
          <a:ext cx="4486275" cy="1171575"/>
        </a:xfrm>
        <a:prstGeom prst="rect">
          <a:avLst/>
        </a:prstGeom>
        <a:noFill/>
        <a:ln w="1">
          <a:noFill/>
          <a:miter lim="800000"/>
          <a:headEnd/>
          <a:tailEnd type="none" w="med" len="med"/>
        </a:ln>
        <a:effectLst/>
      </xdr:spPr>
    </xdr:pic>
    <xdr:clientData/>
  </xdr:twoCellAnchor>
  <xdr:twoCellAnchor editAs="oneCell">
    <xdr:from>
      <xdr:col>0</xdr:col>
      <xdr:colOff>19050</xdr:colOff>
      <xdr:row>70</xdr:row>
      <xdr:rowOff>0</xdr:rowOff>
    </xdr:from>
    <xdr:to>
      <xdr:col>3</xdr:col>
      <xdr:colOff>828675</xdr:colOff>
      <xdr:row>74</xdr:row>
      <xdr:rowOff>161925</xdr:rowOff>
    </xdr:to>
    <xdr:pic>
      <xdr:nvPicPr>
        <xdr:cNvPr id="13328" name="Picture 16"/>
        <xdr:cNvPicPr>
          <a:picLocks noChangeAspect="1" noChangeArrowheads="1"/>
        </xdr:cNvPicPr>
      </xdr:nvPicPr>
      <xdr:blipFill>
        <a:blip r:embed="rId8" cstate="print"/>
        <a:srcRect/>
        <a:stretch>
          <a:fillRect/>
        </a:stretch>
      </xdr:blipFill>
      <xdr:spPr>
        <a:xfrm>
          <a:off x="19050" y="17892395"/>
          <a:ext cx="4410075" cy="1183005"/>
        </a:xfrm>
        <a:prstGeom prst="rect">
          <a:avLst/>
        </a:prstGeom>
        <a:noFill/>
        <a:ln w="1">
          <a:noFill/>
          <a:miter lim="800000"/>
          <a:headEnd/>
          <a:tailEnd type="none" w="med" len="med"/>
        </a:ln>
        <a:effectLst/>
      </xdr:spPr>
    </xdr:pic>
    <xdr:clientData/>
  </xdr:twoCellAnchor>
  <xdr:twoCellAnchor editAs="oneCell">
    <xdr:from>
      <xdr:col>8</xdr:col>
      <xdr:colOff>400050</xdr:colOff>
      <xdr:row>1</xdr:row>
      <xdr:rowOff>237298</xdr:rowOff>
    </xdr:from>
    <xdr:to>
      <xdr:col>12</xdr:col>
      <xdr:colOff>523876</xdr:colOff>
      <xdr:row>9</xdr:row>
      <xdr:rowOff>79243</xdr:rowOff>
    </xdr:to>
    <xdr:pic>
      <xdr:nvPicPr>
        <xdr:cNvPr id="13329" name="Picture 17"/>
        <xdr:cNvPicPr>
          <a:picLocks noChangeAspect="1" noChangeArrowheads="1"/>
        </xdr:cNvPicPr>
      </xdr:nvPicPr>
      <xdr:blipFill>
        <a:blip r:embed="rId9" cstate="print"/>
        <a:srcRect/>
        <a:stretch>
          <a:fillRect/>
        </a:stretch>
      </xdr:blipFill>
      <xdr:spPr>
        <a:xfrm>
          <a:off x="8629650" y="515620"/>
          <a:ext cx="3000375" cy="1884045"/>
        </a:xfrm>
        <a:prstGeom prst="rect">
          <a:avLst/>
        </a:prstGeom>
        <a:noFill/>
        <a:ln w="1">
          <a:noFill/>
          <a:miter lim="800000"/>
          <a:headEnd/>
          <a:tailEnd type="none" w="med" len="med"/>
        </a:ln>
        <a:effectLst/>
      </xdr:spPr>
    </xdr:pic>
    <xdr:clientData/>
  </xdr:twoCellAnchor>
  <xdr:twoCellAnchor editAs="oneCell">
    <xdr:from>
      <xdr:col>5</xdr:col>
      <xdr:colOff>0</xdr:colOff>
      <xdr:row>18</xdr:row>
      <xdr:rowOff>9525</xdr:rowOff>
    </xdr:from>
    <xdr:to>
      <xdr:col>14</xdr:col>
      <xdr:colOff>0</xdr:colOff>
      <xdr:row>33</xdr:row>
      <xdr:rowOff>104775</xdr:rowOff>
    </xdr:to>
    <xdr:pic>
      <xdr:nvPicPr>
        <xdr:cNvPr id="27" name="内容占位符 3"/>
        <xdr:cNvPicPr>
          <a:picLocks noGrp="1" noChangeAspect="1" noChangeArrowheads="1"/>
        </xdr:cNvPicPr>
      </xdr:nvPicPr>
      <xdr:blipFill>
        <a:blip r:embed="rId10" cstate="print"/>
        <a:srcRect/>
        <a:stretch>
          <a:fillRect/>
        </a:stretch>
      </xdr:blipFill>
      <xdr:spPr>
        <a:xfrm>
          <a:off x="5314950" y="4627880"/>
          <a:ext cx="6981825" cy="3924300"/>
        </a:xfrm>
        <a:prstGeom prst="rect">
          <a:avLst/>
        </a:prstGeom>
        <a:noFill/>
        <a:ln w="9525">
          <a:noFill/>
          <a:miter lim="800000"/>
          <a:headEnd/>
          <a:tailEnd/>
        </a:ln>
      </xdr:spPr>
    </xdr:pic>
    <xdr:clientData/>
  </xdr:twoCellAnchor>
  <xdr:twoCellAnchor editAs="oneCell">
    <xdr:from>
      <xdr:col>5</xdr:col>
      <xdr:colOff>9525</xdr:colOff>
      <xdr:row>33</xdr:row>
      <xdr:rowOff>95250</xdr:rowOff>
    </xdr:from>
    <xdr:to>
      <xdr:col>14</xdr:col>
      <xdr:colOff>0</xdr:colOff>
      <xdr:row>49</xdr:row>
      <xdr:rowOff>104775</xdr:rowOff>
    </xdr:to>
    <xdr:pic>
      <xdr:nvPicPr>
        <xdr:cNvPr id="28" name="图片 27"/>
        <xdr:cNvPicPr>
          <a:picLocks noChangeAspect="1" noChangeArrowheads="1"/>
        </xdr:cNvPicPr>
      </xdr:nvPicPr>
      <xdr:blipFill>
        <a:blip r:embed="rId11" cstate="print"/>
        <a:srcRect/>
        <a:stretch>
          <a:fillRect/>
        </a:stretch>
      </xdr:blipFill>
      <xdr:spPr>
        <a:xfrm>
          <a:off x="5324475" y="8542655"/>
          <a:ext cx="6972300" cy="4093845"/>
        </a:xfrm>
        <a:prstGeom prst="rect">
          <a:avLst/>
        </a:prstGeom>
        <a:noFill/>
        <a:ln w="9525">
          <a:noFill/>
          <a:miter lim="800000"/>
          <a:headEnd/>
          <a:tailEnd/>
        </a:ln>
      </xdr:spPr>
    </xdr:pic>
    <xdr:clientData/>
  </xdr:twoCellAnchor>
  <xdr:twoCellAnchor editAs="oneCell">
    <xdr:from>
      <xdr:col>8</xdr:col>
      <xdr:colOff>429536</xdr:colOff>
      <xdr:row>11</xdr:row>
      <xdr:rowOff>19051</xdr:rowOff>
    </xdr:from>
    <xdr:to>
      <xdr:col>12</xdr:col>
      <xdr:colOff>333375</xdr:colOff>
      <xdr:row>17</xdr:row>
      <xdr:rowOff>150993</xdr:rowOff>
    </xdr:to>
    <xdr:pic>
      <xdr:nvPicPr>
        <xdr:cNvPr id="29" name="Picture 7"/>
        <xdr:cNvPicPr>
          <a:picLocks noChangeAspect="1" noChangeArrowheads="1"/>
        </xdr:cNvPicPr>
      </xdr:nvPicPr>
      <xdr:blipFill>
        <a:blip r:embed="rId12" cstate="print"/>
        <a:srcRect/>
        <a:stretch>
          <a:fillRect/>
        </a:stretch>
      </xdr:blipFill>
      <xdr:spPr>
        <a:xfrm>
          <a:off x="8658860" y="2850515"/>
          <a:ext cx="2780665" cy="1663065"/>
        </a:xfrm>
        <a:prstGeom prst="rect">
          <a:avLst/>
        </a:prstGeom>
        <a:noFill/>
        <a:ln w="1">
          <a:noFill/>
          <a:miter lim="800000"/>
          <a:headEnd/>
          <a:tailEnd type="none" w="med" len="med"/>
        </a:ln>
        <a:effectLst/>
      </xdr:spPr>
    </xdr:pic>
    <xdr:clientData/>
  </xdr:twoCellAnchor>
  <xdr:twoCellAnchor editAs="oneCell">
    <xdr:from>
      <xdr:col>12</xdr:col>
      <xdr:colOff>333375</xdr:colOff>
      <xdr:row>10</xdr:row>
      <xdr:rowOff>161925</xdr:rowOff>
    </xdr:from>
    <xdr:to>
      <xdr:col>14</xdr:col>
      <xdr:colOff>638175</xdr:colOff>
      <xdr:row>17</xdr:row>
      <xdr:rowOff>202228</xdr:rowOff>
    </xdr:to>
    <xdr:pic>
      <xdr:nvPicPr>
        <xdr:cNvPr id="30" name="Picture 10"/>
        <xdr:cNvPicPr>
          <a:picLocks noChangeAspect="1" noChangeArrowheads="1"/>
        </xdr:cNvPicPr>
      </xdr:nvPicPr>
      <xdr:blipFill>
        <a:blip r:embed="rId13" cstate="print"/>
        <a:srcRect/>
        <a:stretch>
          <a:fillRect/>
        </a:stretch>
      </xdr:blipFill>
      <xdr:spPr>
        <a:xfrm>
          <a:off x="11439525" y="2738120"/>
          <a:ext cx="1495425" cy="1826895"/>
        </a:xfrm>
        <a:prstGeom prst="rect">
          <a:avLst/>
        </a:prstGeom>
        <a:noFill/>
        <a:ln w="1">
          <a:noFill/>
          <a:miter lim="800000"/>
          <a:headEnd/>
          <a:tailEnd type="none" w="med" len="med"/>
        </a:ln>
        <a:effectLst/>
      </xdr:spPr>
    </xdr:pic>
    <xdr:clientData/>
  </xdr:twoCellAnchor>
  <xdr:twoCellAnchor editAs="oneCell">
    <xdr:from>
      <xdr:col>15</xdr:col>
      <xdr:colOff>0</xdr:colOff>
      <xdr:row>11</xdr:row>
      <xdr:rowOff>0</xdr:rowOff>
    </xdr:from>
    <xdr:to>
      <xdr:col>20</xdr:col>
      <xdr:colOff>426520</xdr:colOff>
      <xdr:row>19</xdr:row>
      <xdr:rowOff>114300</xdr:rowOff>
    </xdr:to>
    <xdr:pic>
      <xdr:nvPicPr>
        <xdr:cNvPr id="31" name="Picture 8"/>
        <xdr:cNvPicPr>
          <a:picLocks noChangeAspect="1" noChangeArrowheads="1"/>
        </xdr:cNvPicPr>
      </xdr:nvPicPr>
      <xdr:blipFill>
        <a:blip r:embed="rId14" cstate="print"/>
        <a:srcRect/>
        <a:stretch>
          <a:fillRect/>
        </a:stretch>
      </xdr:blipFill>
      <xdr:spPr>
        <a:xfrm>
          <a:off x="12944475" y="2831465"/>
          <a:ext cx="4474210" cy="2156460"/>
        </a:xfrm>
        <a:prstGeom prst="rect">
          <a:avLst/>
        </a:prstGeom>
        <a:noFill/>
        <a:ln w="1">
          <a:noFill/>
          <a:miter lim="800000"/>
          <a:headEnd/>
          <a:tailEnd type="none" w="med" len="med"/>
        </a:ln>
        <a:effectLst/>
      </xdr:spPr>
    </xdr:pic>
    <xdr:clientData/>
  </xdr:twoCellAnchor>
  <xdr:twoCellAnchor editAs="oneCell">
    <xdr:from>
      <xdr:col>20</xdr:col>
      <xdr:colOff>438150</xdr:colOff>
      <xdr:row>11</xdr:row>
      <xdr:rowOff>0</xdr:rowOff>
    </xdr:from>
    <xdr:to>
      <xdr:col>25</xdr:col>
      <xdr:colOff>133350</xdr:colOff>
      <xdr:row>19</xdr:row>
      <xdr:rowOff>147489</xdr:rowOff>
    </xdr:to>
    <xdr:pic>
      <xdr:nvPicPr>
        <xdr:cNvPr id="32" name="Picture 9"/>
        <xdr:cNvPicPr>
          <a:picLocks noChangeAspect="1" noChangeArrowheads="1"/>
        </xdr:cNvPicPr>
      </xdr:nvPicPr>
      <xdr:blipFill>
        <a:blip r:embed="rId15" cstate="print"/>
        <a:srcRect/>
        <a:stretch>
          <a:fillRect/>
        </a:stretch>
      </xdr:blipFill>
      <xdr:spPr>
        <a:xfrm>
          <a:off x="17430750" y="2831465"/>
          <a:ext cx="2981325" cy="218948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7" name="五边形 16">
          <a:hlinkClick xmlns:r="http://schemas.openxmlformats.org/officeDocument/2006/relationships" r:id="rId16"/>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7.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xdr:colOff>
      <xdr:row>47</xdr:row>
      <xdr:rowOff>9525</xdr:rowOff>
    </xdr:from>
    <xdr:to>
      <xdr:col>1</xdr:col>
      <xdr:colOff>1439072</xdr:colOff>
      <xdr:row>56</xdr:row>
      <xdr:rowOff>76200</xdr:rowOff>
    </xdr:to>
    <xdr:pic>
      <xdr:nvPicPr>
        <xdr:cNvPr id="2" name="Picture 5"/>
        <xdr:cNvPicPr>
          <a:picLocks noChangeAspect="1" noChangeArrowheads="1"/>
        </xdr:cNvPicPr>
      </xdr:nvPicPr>
      <xdr:blipFill>
        <a:blip r:embed="rId1" cstate="print"/>
        <a:srcRect/>
        <a:stretch>
          <a:fillRect/>
        </a:stretch>
      </xdr:blipFill>
      <xdr:spPr>
        <a:xfrm>
          <a:off x="0" y="12030710"/>
          <a:ext cx="2458085" cy="2364105"/>
        </a:xfrm>
        <a:prstGeom prst="rect">
          <a:avLst/>
        </a:prstGeom>
        <a:noFill/>
        <a:ln w="1">
          <a:noFill/>
          <a:miter lim="800000"/>
          <a:headEnd/>
          <a:tailEnd type="none" w="med" len="med"/>
        </a:ln>
        <a:effectLst/>
      </xdr:spPr>
    </xdr:pic>
    <xdr:clientData/>
  </xdr:twoCellAnchor>
  <xdr:twoCellAnchor editAs="oneCell">
    <xdr:from>
      <xdr:col>1</xdr:col>
      <xdr:colOff>1390651</xdr:colOff>
      <xdr:row>47</xdr:row>
      <xdr:rowOff>19051</xdr:rowOff>
    </xdr:from>
    <xdr:to>
      <xdr:col>4</xdr:col>
      <xdr:colOff>295276</xdr:colOff>
      <xdr:row>54</xdr:row>
      <xdr:rowOff>120005</xdr:rowOff>
    </xdr:to>
    <xdr:pic>
      <xdr:nvPicPr>
        <xdr:cNvPr id="3" name="Picture 6"/>
        <xdr:cNvPicPr>
          <a:picLocks noChangeAspect="1" noChangeArrowheads="1"/>
        </xdr:cNvPicPr>
      </xdr:nvPicPr>
      <xdr:blipFill>
        <a:blip r:embed="rId2" cstate="print"/>
        <a:srcRect/>
        <a:stretch>
          <a:fillRect/>
        </a:stretch>
      </xdr:blipFill>
      <xdr:spPr>
        <a:xfrm>
          <a:off x="2409825" y="12040235"/>
          <a:ext cx="2819400" cy="1887220"/>
        </a:xfrm>
        <a:prstGeom prst="rect">
          <a:avLst/>
        </a:prstGeom>
        <a:noFill/>
        <a:ln w="1">
          <a:noFill/>
          <a:miter lim="800000"/>
          <a:headEnd/>
          <a:tailEnd type="none" w="med" len="med"/>
        </a:ln>
        <a:effectLst/>
      </xdr:spPr>
    </xdr:pic>
    <xdr:clientData/>
  </xdr:twoCellAnchor>
  <xdr:twoCellAnchor editAs="oneCell">
    <xdr:from>
      <xdr:col>0</xdr:col>
      <xdr:colOff>76200</xdr:colOff>
      <xdr:row>58</xdr:row>
      <xdr:rowOff>47625</xdr:rowOff>
    </xdr:from>
    <xdr:to>
      <xdr:col>2</xdr:col>
      <xdr:colOff>466725</xdr:colOff>
      <xdr:row>61</xdr:row>
      <xdr:rowOff>76200</xdr:rowOff>
    </xdr:to>
    <xdr:pic>
      <xdr:nvPicPr>
        <xdr:cNvPr id="4" name="Picture 7"/>
        <xdr:cNvPicPr>
          <a:picLocks noChangeAspect="1" noChangeArrowheads="1"/>
        </xdr:cNvPicPr>
      </xdr:nvPicPr>
      <xdr:blipFill>
        <a:blip r:embed="rId3" cstate="print"/>
        <a:srcRect/>
        <a:stretch>
          <a:fillRect/>
        </a:stretch>
      </xdr:blipFill>
      <xdr:spPr>
        <a:xfrm>
          <a:off x="76200" y="14876780"/>
          <a:ext cx="2933700" cy="794385"/>
        </a:xfrm>
        <a:prstGeom prst="rect">
          <a:avLst/>
        </a:prstGeom>
        <a:noFill/>
        <a:ln w="1">
          <a:noFill/>
          <a:miter lim="800000"/>
          <a:headEnd/>
          <a:tailEnd type="none" w="med" len="med"/>
        </a:ln>
        <a:effectLst/>
      </xdr:spPr>
    </xdr:pic>
    <xdr:clientData/>
  </xdr:twoCellAnchor>
  <xdr:twoCellAnchor editAs="oneCell">
    <xdr:from>
      <xdr:col>5</xdr:col>
      <xdr:colOff>9525</xdr:colOff>
      <xdr:row>51</xdr:row>
      <xdr:rowOff>9525</xdr:rowOff>
    </xdr:from>
    <xdr:to>
      <xdr:col>7</xdr:col>
      <xdr:colOff>57150</xdr:colOff>
      <xdr:row>66</xdr:row>
      <xdr:rowOff>209550</xdr:rowOff>
    </xdr:to>
    <xdr:pic>
      <xdr:nvPicPr>
        <xdr:cNvPr id="5" name="Picture 9"/>
        <xdr:cNvPicPr>
          <a:picLocks noChangeAspect="1" noChangeArrowheads="1"/>
        </xdr:cNvPicPr>
      </xdr:nvPicPr>
      <xdr:blipFill>
        <a:blip r:embed="rId4" cstate="print"/>
        <a:srcRect/>
        <a:stretch>
          <a:fillRect/>
        </a:stretch>
      </xdr:blipFill>
      <xdr:spPr>
        <a:xfrm>
          <a:off x="5324475" y="13051790"/>
          <a:ext cx="2152650" cy="4029075"/>
        </a:xfrm>
        <a:prstGeom prst="rect">
          <a:avLst/>
        </a:prstGeom>
        <a:noFill/>
        <a:ln w="1">
          <a:noFill/>
          <a:miter lim="800000"/>
          <a:headEnd/>
          <a:tailEnd type="none" w="med" len="med"/>
        </a:ln>
        <a:effectLst/>
      </xdr:spPr>
    </xdr:pic>
    <xdr:clientData/>
  </xdr:twoCellAnchor>
  <xdr:twoCellAnchor editAs="oneCell">
    <xdr:from>
      <xdr:col>7</xdr:col>
      <xdr:colOff>123825</xdr:colOff>
      <xdr:row>51</xdr:row>
      <xdr:rowOff>9525</xdr:rowOff>
    </xdr:from>
    <xdr:to>
      <xdr:col>14</xdr:col>
      <xdr:colOff>409575</xdr:colOff>
      <xdr:row>66</xdr:row>
      <xdr:rowOff>209550</xdr:rowOff>
    </xdr:to>
    <xdr:pic>
      <xdr:nvPicPr>
        <xdr:cNvPr id="6" name="Picture 10"/>
        <xdr:cNvPicPr>
          <a:picLocks noChangeAspect="1" noChangeArrowheads="1"/>
        </xdr:cNvPicPr>
      </xdr:nvPicPr>
      <xdr:blipFill>
        <a:blip r:embed="rId5" cstate="print"/>
        <a:srcRect/>
        <a:stretch>
          <a:fillRect/>
        </a:stretch>
      </xdr:blipFill>
      <xdr:spPr>
        <a:xfrm>
          <a:off x="7543800" y="13051790"/>
          <a:ext cx="5162550" cy="4029075"/>
        </a:xfrm>
        <a:prstGeom prst="rect">
          <a:avLst/>
        </a:prstGeom>
        <a:noFill/>
        <a:ln w="1">
          <a:noFill/>
          <a:miter lim="800000"/>
          <a:headEnd/>
          <a:tailEnd type="none" w="med" len="med"/>
        </a:ln>
        <a:effectLst/>
      </xdr:spPr>
    </xdr:pic>
    <xdr:clientData/>
  </xdr:twoCellAnchor>
  <xdr:twoCellAnchor editAs="oneCell">
    <xdr:from>
      <xdr:col>0</xdr:col>
      <xdr:colOff>0</xdr:colOff>
      <xdr:row>72</xdr:row>
      <xdr:rowOff>95250</xdr:rowOff>
    </xdr:from>
    <xdr:to>
      <xdr:col>3</xdr:col>
      <xdr:colOff>609600</xdr:colOff>
      <xdr:row>76</xdr:row>
      <xdr:rowOff>180975</xdr:rowOff>
    </xdr:to>
    <xdr:pic>
      <xdr:nvPicPr>
        <xdr:cNvPr id="7" name="Picture 14"/>
        <xdr:cNvPicPr>
          <a:picLocks noChangeAspect="1" noChangeArrowheads="1"/>
        </xdr:cNvPicPr>
      </xdr:nvPicPr>
      <xdr:blipFill>
        <a:blip r:embed="rId6" cstate="print"/>
        <a:srcRect/>
        <a:stretch>
          <a:fillRect/>
        </a:stretch>
      </xdr:blipFill>
      <xdr:spPr>
        <a:xfrm>
          <a:off x="0" y="18498185"/>
          <a:ext cx="4210050" cy="1106805"/>
        </a:xfrm>
        <a:prstGeom prst="rect">
          <a:avLst/>
        </a:prstGeom>
        <a:noFill/>
        <a:ln w="1">
          <a:noFill/>
          <a:miter lim="800000"/>
          <a:headEnd/>
          <a:tailEnd type="none" w="med" len="med"/>
        </a:ln>
        <a:effectLst/>
      </xdr:spPr>
    </xdr:pic>
    <xdr:clientData/>
  </xdr:twoCellAnchor>
  <xdr:twoCellAnchor editAs="oneCell">
    <xdr:from>
      <xdr:col>0</xdr:col>
      <xdr:colOff>0</xdr:colOff>
      <xdr:row>67</xdr:row>
      <xdr:rowOff>133350</xdr:rowOff>
    </xdr:from>
    <xdr:to>
      <xdr:col>3</xdr:col>
      <xdr:colOff>885825</xdr:colOff>
      <xdr:row>72</xdr:row>
      <xdr:rowOff>28575</xdr:rowOff>
    </xdr:to>
    <xdr:pic>
      <xdr:nvPicPr>
        <xdr:cNvPr id="8" name="Picture 15"/>
        <xdr:cNvPicPr>
          <a:picLocks noChangeAspect="1" noChangeArrowheads="1"/>
        </xdr:cNvPicPr>
      </xdr:nvPicPr>
      <xdr:blipFill>
        <a:blip r:embed="rId7" cstate="print"/>
        <a:srcRect/>
        <a:stretch>
          <a:fillRect/>
        </a:stretch>
      </xdr:blipFill>
      <xdr:spPr>
        <a:xfrm>
          <a:off x="0" y="17259935"/>
          <a:ext cx="4486275" cy="1171575"/>
        </a:xfrm>
        <a:prstGeom prst="rect">
          <a:avLst/>
        </a:prstGeom>
        <a:noFill/>
        <a:ln w="1">
          <a:noFill/>
          <a:miter lim="800000"/>
          <a:headEnd/>
          <a:tailEnd type="none" w="med" len="med"/>
        </a:ln>
        <a:effectLst/>
      </xdr:spPr>
    </xdr:pic>
    <xdr:clientData/>
  </xdr:twoCellAnchor>
  <xdr:twoCellAnchor editAs="oneCell">
    <xdr:from>
      <xdr:col>0</xdr:col>
      <xdr:colOff>19050</xdr:colOff>
      <xdr:row>63</xdr:row>
      <xdr:rowOff>0</xdr:rowOff>
    </xdr:from>
    <xdr:to>
      <xdr:col>3</xdr:col>
      <xdr:colOff>828675</xdr:colOff>
      <xdr:row>67</xdr:row>
      <xdr:rowOff>161925</xdr:rowOff>
    </xdr:to>
    <xdr:pic>
      <xdr:nvPicPr>
        <xdr:cNvPr id="9" name="Picture 16"/>
        <xdr:cNvPicPr>
          <a:picLocks noChangeAspect="1" noChangeArrowheads="1"/>
        </xdr:cNvPicPr>
      </xdr:nvPicPr>
      <xdr:blipFill>
        <a:blip r:embed="rId8" cstate="print"/>
        <a:srcRect/>
        <a:stretch>
          <a:fillRect/>
        </a:stretch>
      </xdr:blipFill>
      <xdr:spPr>
        <a:xfrm>
          <a:off x="19050" y="16105505"/>
          <a:ext cx="4410075" cy="1183005"/>
        </a:xfrm>
        <a:prstGeom prst="rect">
          <a:avLst/>
        </a:prstGeom>
        <a:noFill/>
        <a:ln w="1">
          <a:noFill/>
          <a:miter lim="800000"/>
          <a:headEnd/>
          <a:tailEnd type="none" w="med" len="med"/>
        </a:ln>
        <a:effectLst/>
      </xdr:spPr>
    </xdr:pic>
    <xdr:clientData/>
  </xdr:twoCellAnchor>
  <xdr:twoCellAnchor editAs="oneCell">
    <xdr:from>
      <xdr:col>8</xdr:col>
      <xdr:colOff>400050</xdr:colOff>
      <xdr:row>1</xdr:row>
      <xdr:rowOff>237298</xdr:rowOff>
    </xdr:from>
    <xdr:to>
      <xdr:col>12</xdr:col>
      <xdr:colOff>523876</xdr:colOff>
      <xdr:row>9</xdr:row>
      <xdr:rowOff>79243</xdr:rowOff>
    </xdr:to>
    <xdr:pic>
      <xdr:nvPicPr>
        <xdr:cNvPr id="10" name="Picture 17"/>
        <xdr:cNvPicPr>
          <a:picLocks noChangeAspect="1" noChangeArrowheads="1"/>
        </xdr:cNvPicPr>
      </xdr:nvPicPr>
      <xdr:blipFill>
        <a:blip r:embed="rId9" cstate="print"/>
        <a:srcRect/>
        <a:stretch>
          <a:fillRect/>
        </a:stretch>
      </xdr:blipFill>
      <xdr:spPr>
        <a:xfrm>
          <a:off x="8629650" y="515620"/>
          <a:ext cx="3000375" cy="1884045"/>
        </a:xfrm>
        <a:prstGeom prst="rect">
          <a:avLst/>
        </a:prstGeom>
        <a:noFill/>
        <a:ln w="1">
          <a:noFill/>
          <a:miter lim="800000"/>
          <a:headEnd/>
          <a:tailEnd type="none" w="med" len="med"/>
        </a:ln>
        <a:effectLst/>
      </xdr:spPr>
    </xdr:pic>
    <xdr:clientData/>
  </xdr:twoCellAnchor>
  <xdr:twoCellAnchor editAs="oneCell">
    <xdr:from>
      <xdr:col>8</xdr:col>
      <xdr:colOff>429536</xdr:colOff>
      <xdr:row>11</xdr:row>
      <xdr:rowOff>19051</xdr:rowOff>
    </xdr:from>
    <xdr:to>
      <xdr:col>12</xdr:col>
      <xdr:colOff>333375</xdr:colOff>
      <xdr:row>17</xdr:row>
      <xdr:rowOff>150993</xdr:rowOff>
    </xdr:to>
    <xdr:pic>
      <xdr:nvPicPr>
        <xdr:cNvPr id="13" name="Picture 7"/>
        <xdr:cNvPicPr>
          <a:picLocks noChangeAspect="1" noChangeArrowheads="1"/>
        </xdr:cNvPicPr>
      </xdr:nvPicPr>
      <xdr:blipFill>
        <a:blip r:embed="rId10" cstate="print"/>
        <a:srcRect/>
        <a:stretch>
          <a:fillRect/>
        </a:stretch>
      </xdr:blipFill>
      <xdr:spPr>
        <a:xfrm>
          <a:off x="8658860" y="2850515"/>
          <a:ext cx="2780665" cy="1663065"/>
        </a:xfrm>
        <a:prstGeom prst="rect">
          <a:avLst/>
        </a:prstGeom>
        <a:noFill/>
        <a:ln w="1">
          <a:noFill/>
          <a:miter lim="800000"/>
          <a:headEnd/>
          <a:tailEnd type="none" w="med" len="med"/>
        </a:ln>
        <a:effectLst/>
      </xdr:spPr>
    </xdr:pic>
    <xdr:clientData/>
  </xdr:twoCellAnchor>
  <xdr:twoCellAnchor editAs="oneCell">
    <xdr:from>
      <xdr:col>12</xdr:col>
      <xdr:colOff>333375</xdr:colOff>
      <xdr:row>10</xdr:row>
      <xdr:rowOff>161925</xdr:rowOff>
    </xdr:from>
    <xdr:to>
      <xdr:col>14</xdr:col>
      <xdr:colOff>638175</xdr:colOff>
      <xdr:row>17</xdr:row>
      <xdr:rowOff>202228</xdr:rowOff>
    </xdr:to>
    <xdr:pic>
      <xdr:nvPicPr>
        <xdr:cNvPr id="14" name="Picture 10"/>
        <xdr:cNvPicPr>
          <a:picLocks noChangeAspect="1" noChangeArrowheads="1"/>
        </xdr:cNvPicPr>
      </xdr:nvPicPr>
      <xdr:blipFill>
        <a:blip r:embed="rId11" cstate="print"/>
        <a:srcRect/>
        <a:stretch>
          <a:fillRect/>
        </a:stretch>
      </xdr:blipFill>
      <xdr:spPr>
        <a:xfrm>
          <a:off x="11439525" y="2738120"/>
          <a:ext cx="1495425" cy="1826895"/>
        </a:xfrm>
        <a:prstGeom prst="rect">
          <a:avLst/>
        </a:prstGeom>
        <a:noFill/>
        <a:ln w="1">
          <a:noFill/>
          <a:miter lim="800000"/>
          <a:headEnd/>
          <a:tailEnd type="none" w="med" len="med"/>
        </a:ln>
        <a:effectLst/>
      </xdr:spPr>
    </xdr:pic>
    <xdr:clientData/>
  </xdr:twoCellAnchor>
  <xdr:twoCellAnchor editAs="oneCell">
    <xdr:from>
      <xdr:col>15</xdr:col>
      <xdr:colOff>0</xdr:colOff>
      <xdr:row>11</xdr:row>
      <xdr:rowOff>0</xdr:rowOff>
    </xdr:from>
    <xdr:to>
      <xdr:col>20</xdr:col>
      <xdr:colOff>426520</xdr:colOff>
      <xdr:row>19</xdr:row>
      <xdr:rowOff>114300</xdr:rowOff>
    </xdr:to>
    <xdr:pic>
      <xdr:nvPicPr>
        <xdr:cNvPr id="15" name="Picture 8"/>
        <xdr:cNvPicPr>
          <a:picLocks noChangeAspect="1" noChangeArrowheads="1"/>
        </xdr:cNvPicPr>
      </xdr:nvPicPr>
      <xdr:blipFill>
        <a:blip r:embed="rId12" cstate="print"/>
        <a:srcRect/>
        <a:stretch>
          <a:fillRect/>
        </a:stretch>
      </xdr:blipFill>
      <xdr:spPr>
        <a:xfrm>
          <a:off x="12944475" y="2831465"/>
          <a:ext cx="4474210" cy="2156460"/>
        </a:xfrm>
        <a:prstGeom prst="rect">
          <a:avLst/>
        </a:prstGeom>
        <a:noFill/>
        <a:ln w="1">
          <a:noFill/>
          <a:miter lim="800000"/>
          <a:headEnd/>
          <a:tailEnd type="none" w="med" len="med"/>
        </a:ln>
        <a:effectLst/>
      </xdr:spPr>
    </xdr:pic>
    <xdr:clientData/>
  </xdr:twoCellAnchor>
  <xdr:twoCellAnchor editAs="oneCell">
    <xdr:from>
      <xdr:col>20</xdr:col>
      <xdr:colOff>438150</xdr:colOff>
      <xdr:row>11</xdr:row>
      <xdr:rowOff>0</xdr:rowOff>
    </xdr:from>
    <xdr:to>
      <xdr:col>25</xdr:col>
      <xdr:colOff>133350</xdr:colOff>
      <xdr:row>19</xdr:row>
      <xdr:rowOff>147489</xdr:rowOff>
    </xdr:to>
    <xdr:pic>
      <xdr:nvPicPr>
        <xdr:cNvPr id="16" name="Picture 9"/>
        <xdr:cNvPicPr>
          <a:picLocks noChangeAspect="1" noChangeArrowheads="1"/>
        </xdr:cNvPicPr>
      </xdr:nvPicPr>
      <xdr:blipFill>
        <a:blip r:embed="rId13" cstate="print"/>
        <a:srcRect/>
        <a:stretch>
          <a:fillRect/>
        </a:stretch>
      </xdr:blipFill>
      <xdr:spPr>
        <a:xfrm>
          <a:off x="17430750" y="2831465"/>
          <a:ext cx="2981325" cy="2189480"/>
        </a:xfrm>
        <a:prstGeom prst="rect">
          <a:avLst/>
        </a:prstGeom>
        <a:noFill/>
        <a:ln w="1">
          <a:noFill/>
          <a:miter lim="800000"/>
          <a:headEnd/>
          <a:tailEnd type="none" w="med" len="med"/>
        </a:ln>
        <a:effectLst/>
      </xdr:spPr>
    </xdr:pic>
    <xdr:clientData/>
  </xdr:twoCellAnchor>
  <xdr:twoCellAnchor editAs="oneCell">
    <xdr:from>
      <xdr:col>5</xdr:col>
      <xdr:colOff>9525</xdr:colOff>
      <xdr:row>18</xdr:row>
      <xdr:rowOff>2</xdr:rowOff>
    </xdr:from>
    <xdr:to>
      <xdr:col>14</xdr:col>
      <xdr:colOff>66675</xdr:colOff>
      <xdr:row>33</xdr:row>
      <xdr:rowOff>38100</xdr:rowOff>
    </xdr:to>
    <xdr:pic>
      <xdr:nvPicPr>
        <xdr:cNvPr id="14337" name="Picture 1"/>
        <xdr:cNvPicPr>
          <a:picLocks noChangeAspect="1" noChangeArrowheads="1"/>
        </xdr:cNvPicPr>
      </xdr:nvPicPr>
      <xdr:blipFill>
        <a:blip r:embed="rId14" cstate="print"/>
        <a:srcRect/>
        <a:stretch>
          <a:fillRect/>
        </a:stretch>
      </xdr:blipFill>
      <xdr:spPr>
        <a:xfrm>
          <a:off x="5324475" y="4618355"/>
          <a:ext cx="7038975" cy="3867150"/>
        </a:xfrm>
        <a:prstGeom prst="rect">
          <a:avLst/>
        </a:prstGeom>
        <a:noFill/>
        <a:ln w="1">
          <a:noFill/>
          <a:miter lim="800000"/>
          <a:headEnd/>
          <a:tailEnd type="none" w="med" len="med"/>
        </a:ln>
        <a:effectLst/>
      </xdr:spPr>
    </xdr:pic>
    <xdr:clientData/>
  </xdr:twoCellAnchor>
  <xdr:twoCellAnchor editAs="oneCell">
    <xdr:from>
      <xdr:col>5</xdr:col>
      <xdr:colOff>9525</xdr:colOff>
      <xdr:row>32</xdr:row>
      <xdr:rowOff>114300</xdr:rowOff>
    </xdr:from>
    <xdr:to>
      <xdr:col>12</xdr:col>
      <xdr:colOff>190500</xdr:colOff>
      <xdr:row>49</xdr:row>
      <xdr:rowOff>123825</xdr:rowOff>
    </xdr:to>
    <xdr:pic>
      <xdr:nvPicPr>
        <xdr:cNvPr id="14338" name="Picture 2"/>
        <xdr:cNvPicPr>
          <a:picLocks noChangeAspect="1" noChangeArrowheads="1"/>
        </xdr:cNvPicPr>
      </xdr:nvPicPr>
      <xdr:blipFill>
        <a:blip r:embed="rId15" cstate="print"/>
        <a:srcRect/>
        <a:stretch>
          <a:fillRect/>
        </a:stretch>
      </xdr:blipFill>
      <xdr:spPr>
        <a:xfrm>
          <a:off x="5324475" y="8306435"/>
          <a:ext cx="5972175" cy="434911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7" name="五边形 16">
          <a:hlinkClick xmlns:r="http://schemas.openxmlformats.org/officeDocument/2006/relationships" r:id="rId16"/>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8.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xdr:colOff>
      <xdr:row>47</xdr:row>
      <xdr:rowOff>9525</xdr:rowOff>
    </xdr:from>
    <xdr:to>
      <xdr:col>1</xdr:col>
      <xdr:colOff>1439072</xdr:colOff>
      <xdr:row>56</xdr:row>
      <xdr:rowOff>76200</xdr:rowOff>
    </xdr:to>
    <xdr:pic>
      <xdr:nvPicPr>
        <xdr:cNvPr id="2" name="Picture 5"/>
        <xdr:cNvPicPr>
          <a:picLocks noChangeAspect="1" noChangeArrowheads="1"/>
        </xdr:cNvPicPr>
      </xdr:nvPicPr>
      <xdr:blipFill>
        <a:blip r:embed="rId1" cstate="print"/>
        <a:srcRect/>
        <a:stretch>
          <a:fillRect/>
        </a:stretch>
      </xdr:blipFill>
      <xdr:spPr>
        <a:xfrm>
          <a:off x="0" y="12030710"/>
          <a:ext cx="2458085" cy="2364105"/>
        </a:xfrm>
        <a:prstGeom prst="rect">
          <a:avLst/>
        </a:prstGeom>
        <a:noFill/>
        <a:ln w="1">
          <a:noFill/>
          <a:miter lim="800000"/>
          <a:headEnd/>
          <a:tailEnd type="none" w="med" len="med"/>
        </a:ln>
        <a:effectLst/>
      </xdr:spPr>
    </xdr:pic>
    <xdr:clientData/>
  </xdr:twoCellAnchor>
  <xdr:twoCellAnchor editAs="oneCell">
    <xdr:from>
      <xdr:col>1</xdr:col>
      <xdr:colOff>1390651</xdr:colOff>
      <xdr:row>47</xdr:row>
      <xdr:rowOff>19051</xdr:rowOff>
    </xdr:from>
    <xdr:to>
      <xdr:col>4</xdr:col>
      <xdr:colOff>295276</xdr:colOff>
      <xdr:row>54</xdr:row>
      <xdr:rowOff>120005</xdr:rowOff>
    </xdr:to>
    <xdr:pic>
      <xdr:nvPicPr>
        <xdr:cNvPr id="3" name="Picture 6"/>
        <xdr:cNvPicPr>
          <a:picLocks noChangeAspect="1" noChangeArrowheads="1"/>
        </xdr:cNvPicPr>
      </xdr:nvPicPr>
      <xdr:blipFill>
        <a:blip r:embed="rId2" cstate="print"/>
        <a:srcRect/>
        <a:stretch>
          <a:fillRect/>
        </a:stretch>
      </xdr:blipFill>
      <xdr:spPr>
        <a:xfrm>
          <a:off x="2409825" y="12040235"/>
          <a:ext cx="2819400" cy="1887220"/>
        </a:xfrm>
        <a:prstGeom prst="rect">
          <a:avLst/>
        </a:prstGeom>
        <a:noFill/>
        <a:ln w="1">
          <a:noFill/>
          <a:miter lim="800000"/>
          <a:headEnd/>
          <a:tailEnd type="none" w="med" len="med"/>
        </a:ln>
        <a:effectLst/>
      </xdr:spPr>
    </xdr:pic>
    <xdr:clientData/>
  </xdr:twoCellAnchor>
  <xdr:twoCellAnchor editAs="oneCell">
    <xdr:from>
      <xdr:col>0</xdr:col>
      <xdr:colOff>76200</xdr:colOff>
      <xdr:row>58</xdr:row>
      <xdr:rowOff>47625</xdr:rowOff>
    </xdr:from>
    <xdr:to>
      <xdr:col>2</xdr:col>
      <xdr:colOff>466725</xdr:colOff>
      <xdr:row>61</xdr:row>
      <xdr:rowOff>76200</xdr:rowOff>
    </xdr:to>
    <xdr:pic>
      <xdr:nvPicPr>
        <xdr:cNvPr id="4" name="Picture 7"/>
        <xdr:cNvPicPr>
          <a:picLocks noChangeAspect="1" noChangeArrowheads="1"/>
        </xdr:cNvPicPr>
      </xdr:nvPicPr>
      <xdr:blipFill>
        <a:blip r:embed="rId3" cstate="print"/>
        <a:srcRect/>
        <a:stretch>
          <a:fillRect/>
        </a:stretch>
      </xdr:blipFill>
      <xdr:spPr>
        <a:xfrm>
          <a:off x="76200" y="14876780"/>
          <a:ext cx="2933700" cy="794385"/>
        </a:xfrm>
        <a:prstGeom prst="rect">
          <a:avLst/>
        </a:prstGeom>
        <a:noFill/>
        <a:ln w="1">
          <a:noFill/>
          <a:miter lim="800000"/>
          <a:headEnd/>
          <a:tailEnd type="none" w="med" len="med"/>
        </a:ln>
        <a:effectLst/>
      </xdr:spPr>
    </xdr:pic>
    <xdr:clientData/>
  </xdr:twoCellAnchor>
  <xdr:twoCellAnchor editAs="oneCell">
    <xdr:from>
      <xdr:col>5</xdr:col>
      <xdr:colOff>9525</xdr:colOff>
      <xdr:row>51</xdr:row>
      <xdr:rowOff>9525</xdr:rowOff>
    </xdr:from>
    <xdr:to>
      <xdr:col>7</xdr:col>
      <xdr:colOff>57150</xdr:colOff>
      <xdr:row>66</xdr:row>
      <xdr:rowOff>209550</xdr:rowOff>
    </xdr:to>
    <xdr:pic>
      <xdr:nvPicPr>
        <xdr:cNvPr id="5" name="Picture 9"/>
        <xdr:cNvPicPr>
          <a:picLocks noChangeAspect="1" noChangeArrowheads="1"/>
        </xdr:cNvPicPr>
      </xdr:nvPicPr>
      <xdr:blipFill>
        <a:blip r:embed="rId4" cstate="print"/>
        <a:srcRect/>
        <a:stretch>
          <a:fillRect/>
        </a:stretch>
      </xdr:blipFill>
      <xdr:spPr>
        <a:xfrm>
          <a:off x="5324475" y="13051790"/>
          <a:ext cx="2152650" cy="4029075"/>
        </a:xfrm>
        <a:prstGeom prst="rect">
          <a:avLst/>
        </a:prstGeom>
        <a:noFill/>
        <a:ln w="1">
          <a:noFill/>
          <a:miter lim="800000"/>
          <a:headEnd/>
          <a:tailEnd type="none" w="med" len="med"/>
        </a:ln>
        <a:effectLst/>
      </xdr:spPr>
    </xdr:pic>
    <xdr:clientData/>
  </xdr:twoCellAnchor>
  <xdr:twoCellAnchor editAs="oneCell">
    <xdr:from>
      <xdr:col>7</xdr:col>
      <xdr:colOff>123825</xdr:colOff>
      <xdr:row>51</xdr:row>
      <xdr:rowOff>9525</xdr:rowOff>
    </xdr:from>
    <xdr:to>
      <xdr:col>14</xdr:col>
      <xdr:colOff>409575</xdr:colOff>
      <xdr:row>66</xdr:row>
      <xdr:rowOff>209550</xdr:rowOff>
    </xdr:to>
    <xdr:pic>
      <xdr:nvPicPr>
        <xdr:cNvPr id="6" name="Picture 10"/>
        <xdr:cNvPicPr>
          <a:picLocks noChangeAspect="1" noChangeArrowheads="1"/>
        </xdr:cNvPicPr>
      </xdr:nvPicPr>
      <xdr:blipFill>
        <a:blip r:embed="rId5" cstate="print"/>
        <a:srcRect/>
        <a:stretch>
          <a:fillRect/>
        </a:stretch>
      </xdr:blipFill>
      <xdr:spPr>
        <a:xfrm>
          <a:off x="7543800" y="13051790"/>
          <a:ext cx="5162550" cy="4029075"/>
        </a:xfrm>
        <a:prstGeom prst="rect">
          <a:avLst/>
        </a:prstGeom>
        <a:noFill/>
        <a:ln w="1">
          <a:noFill/>
          <a:miter lim="800000"/>
          <a:headEnd/>
          <a:tailEnd type="none" w="med" len="med"/>
        </a:ln>
        <a:effectLst/>
      </xdr:spPr>
    </xdr:pic>
    <xdr:clientData/>
  </xdr:twoCellAnchor>
  <xdr:twoCellAnchor editAs="oneCell">
    <xdr:from>
      <xdr:col>0</xdr:col>
      <xdr:colOff>0</xdr:colOff>
      <xdr:row>72</xdr:row>
      <xdr:rowOff>95250</xdr:rowOff>
    </xdr:from>
    <xdr:to>
      <xdr:col>3</xdr:col>
      <xdr:colOff>609600</xdr:colOff>
      <xdr:row>76</xdr:row>
      <xdr:rowOff>180975</xdr:rowOff>
    </xdr:to>
    <xdr:pic>
      <xdr:nvPicPr>
        <xdr:cNvPr id="7" name="Picture 14"/>
        <xdr:cNvPicPr>
          <a:picLocks noChangeAspect="1" noChangeArrowheads="1"/>
        </xdr:cNvPicPr>
      </xdr:nvPicPr>
      <xdr:blipFill>
        <a:blip r:embed="rId6" cstate="print"/>
        <a:srcRect/>
        <a:stretch>
          <a:fillRect/>
        </a:stretch>
      </xdr:blipFill>
      <xdr:spPr>
        <a:xfrm>
          <a:off x="0" y="18498185"/>
          <a:ext cx="4210050" cy="1106805"/>
        </a:xfrm>
        <a:prstGeom prst="rect">
          <a:avLst/>
        </a:prstGeom>
        <a:noFill/>
        <a:ln w="1">
          <a:noFill/>
          <a:miter lim="800000"/>
          <a:headEnd/>
          <a:tailEnd type="none" w="med" len="med"/>
        </a:ln>
        <a:effectLst/>
      </xdr:spPr>
    </xdr:pic>
    <xdr:clientData/>
  </xdr:twoCellAnchor>
  <xdr:twoCellAnchor editAs="oneCell">
    <xdr:from>
      <xdr:col>0</xdr:col>
      <xdr:colOff>0</xdr:colOff>
      <xdr:row>67</xdr:row>
      <xdr:rowOff>133350</xdr:rowOff>
    </xdr:from>
    <xdr:to>
      <xdr:col>3</xdr:col>
      <xdr:colOff>885825</xdr:colOff>
      <xdr:row>72</xdr:row>
      <xdr:rowOff>28575</xdr:rowOff>
    </xdr:to>
    <xdr:pic>
      <xdr:nvPicPr>
        <xdr:cNvPr id="8" name="Picture 15"/>
        <xdr:cNvPicPr>
          <a:picLocks noChangeAspect="1" noChangeArrowheads="1"/>
        </xdr:cNvPicPr>
      </xdr:nvPicPr>
      <xdr:blipFill>
        <a:blip r:embed="rId7" cstate="print"/>
        <a:srcRect/>
        <a:stretch>
          <a:fillRect/>
        </a:stretch>
      </xdr:blipFill>
      <xdr:spPr>
        <a:xfrm>
          <a:off x="0" y="17259935"/>
          <a:ext cx="4486275" cy="1171575"/>
        </a:xfrm>
        <a:prstGeom prst="rect">
          <a:avLst/>
        </a:prstGeom>
        <a:noFill/>
        <a:ln w="1">
          <a:noFill/>
          <a:miter lim="800000"/>
          <a:headEnd/>
          <a:tailEnd type="none" w="med" len="med"/>
        </a:ln>
        <a:effectLst/>
      </xdr:spPr>
    </xdr:pic>
    <xdr:clientData/>
  </xdr:twoCellAnchor>
  <xdr:twoCellAnchor editAs="oneCell">
    <xdr:from>
      <xdr:col>0</xdr:col>
      <xdr:colOff>19050</xdr:colOff>
      <xdr:row>63</xdr:row>
      <xdr:rowOff>0</xdr:rowOff>
    </xdr:from>
    <xdr:to>
      <xdr:col>3</xdr:col>
      <xdr:colOff>828675</xdr:colOff>
      <xdr:row>67</xdr:row>
      <xdr:rowOff>161925</xdr:rowOff>
    </xdr:to>
    <xdr:pic>
      <xdr:nvPicPr>
        <xdr:cNvPr id="9" name="Picture 16"/>
        <xdr:cNvPicPr>
          <a:picLocks noChangeAspect="1" noChangeArrowheads="1"/>
        </xdr:cNvPicPr>
      </xdr:nvPicPr>
      <xdr:blipFill>
        <a:blip r:embed="rId8" cstate="print"/>
        <a:srcRect/>
        <a:stretch>
          <a:fillRect/>
        </a:stretch>
      </xdr:blipFill>
      <xdr:spPr>
        <a:xfrm>
          <a:off x="19050" y="16105505"/>
          <a:ext cx="4410075" cy="1183005"/>
        </a:xfrm>
        <a:prstGeom prst="rect">
          <a:avLst/>
        </a:prstGeom>
        <a:noFill/>
        <a:ln w="1">
          <a:noFill/>
          <a:miter lim="800000"/>
          <a:headEnd/>
          <a:tailEnd type="none" w="med" len="med"/>
        </a:ln>
        <a:effectLst/>
      </xdr:spPr>
    </xdr:pic>
    <xdr:clientData/>
  </xdr:twoCellAnchor>
  <xdr:twoCellAnchor editAs="oneCell">
    <xdr:from>
      <xdr:col>8</xdr:col>
      <xdr:colOff>400050</xdr:colOff>
      <xdr:row>1</xdr:row>
      <xdr:rowOff>237298</xdr:rowOff>
    </xdr:from>
    <xdr:to>
      <xdr:col>12</xdr:col>
      <xdr:colOff>523876</xdr:colOff>
      <xdr:row>9</xdr:row>
      <xdr:rowOff>79243</xdr:rowOff>
    </xdr:to>
    <xdr:pic>
      <xdr:nvPicPr>
        <xdr:cNvPr id="10" name="Picture 17"/>
        <xdr:cNvPicPr>
          <a:picLocks noChangeAspect="1" noChangeArrowheads="1"/>
        </xdr:cNvPicPr>
      </xdr:nvPicPr>
      <xdr:blipFill>
        <a:blip r:embed="rId9" cstate="print"/>
        <a:srcRect/>
        <a:stretch>
          <a:fillRect/>
        </a:stretch>
      </xdr:blipFill>
      <xdr:spPr>
        <a:xfrm>
          <a:off x="8629650" y="515620"/>
          <a:ext cx="3000375" cy="1884045"/>
        </a:xfrm>
        <a:prstGeom prst="rect">
          <a:avLst/>
        </a:prstGeom>
        <a:noFill/>
        <a:ln w="1">
          <a:noFill/>
          <a:miter lim="800000"/>
          <a:headEnd/>
          <a:tailEnd type="none" w="med" len="med"/>
        </a:ln>
        <a:effectLst/>
      </xdr:spPr>
    </xdr:pic>
    <xdr:clientData/>
  </xdr:twoCellAnchor>
  <xdr:twoCellAnchor editAs="oneCell">
    <xdr:from>
      <xdr:col>8</xdr:col>
      <xdr:colOff>429536</xdr:colOff>
      <xdr:row>11</xdr:row>
      <xdr:rowOff>19051</xdr:rowOff>
    </xdr:from>
    <xdr:to>
      <xdr:col>12</xdr:col>
      <xdr:colOff>333375</xdr:colOff>
      <xdr:row>17</xdr:row>
      <xdr:rowOff>150993</xdr:rowOff>
    </xdr:to>
    <xdr:pic>
      <xdr:nvPicPr>
        <xdr:cNvPr id="11" name="Picture 7"/>
        <xdr:cNvPicPr>
          <a:picLocks noChangeAspect="1" noChangeArrowheads="1"/>
        </xdr:cNvPicPr>
      </xdr:nvPicPr>
      <xdr:blipFill>
        <a:blip r:embed="rId10" cstate="print"/>
        <a:srcRect/>
        <a:stretch>
          <a:fillRect/>
        </a:stretch>
      </xdr:blipFill>
      <xdr:spPr>
        <a:xfrm>
          <a:off x="8658860" y="2850515"/>
          <a:ext cx="2780665" cy="1663065"/>
        </a:xfrm>
        <a:prstGeom prst="rect">
          <a:avLst/>
        </a:prstGeom>
        <a:noFill/>
        <a:ln w="1">
          <a:noFill/>
          <a:miter lim="800000"/>
          <a:headEnd/>
          <a:tailEnd type="none" w="med" len="med"/>
        </a:ln>
        <a:effectLst/>
      </xdr:spPr>
    </xdr:pic>
    <xdr:clientData/>
  </xdr:twoCellAnchor>
  <xdr:twoCellAnchor editAs="oneCell">
    <xdr:from>
      <xdr:col>12</xdr:col>
      <xdr:colOff>333375</xdr:colOff>
      <xdr:row>10</xdr:row>
      <xdr:rowOff>161925</xdr:rowOff>
    </xdr:from>
    <xdr:to>
      <xdr:col>14</xdr:col>
      <xdr:colOff>638175</xdr:colOff>
      <xdr:row>17</xdr:row>
      <xdr:rowOff>202228</xdr:rowOff>
    </xdr:to>
    <xdr:pic>
      <xdr:nvPicPr>
        <xdr:cNvPr id="12" name="Picture 10"/>
        <xdr:cNvPicPr>
          <a:picLocks noChangeAspect="1" noChangeArrowheads="1"/>
        </xdr:cNvPicPr>
      </xdr:nvPicPr>
      <xdr:blipFill>
        <a:blip r:embed="rId11" cstate="print"/>
        <a:srcRect/>
        <a:stretch>
          <a:fillRect/>
        </a:stretch>
      </xdr:blipFill>
      <xdr:spPr>
        <a:xfrm>
          <a:off x="11439525" y="2738120"/>
          <a:ext cx="1495425" cy="1826895"/>
        </a:xfrm>
        <a:prstGeom prst="rect">
          <a:avLst/>
        </a:prstGeom>
        <a:noFill/>
        <a:ln w="1">
          <a:noFill/>
          <a:miter lim="800000"/>
          <a:headEnd/>
          <a:tailEnd type="none" w="med" len="med"/>
        </a:ln>
        <a:effectLst/>
      </xdr:spPr>
    </xdr:pic>
    <xdr:clientData/>
  </xdr:twoCellAnchor>
  <xdr:twoCellAnchor editAs="oneCell">
    <xdr:from>
      <xdr:col>15</xdr:col>
      <xdr:colOff>0</xdr:colOff>
      <xdr:row>11</xdr:row>
      <xdr:rowOff>0</xdr:rowOff>
    </xdr:from>
    <xdr:to>
      <xdr:col>20</xdr:col>
      <xdr:colOff>426520</xdr:colOff>
      <xdr:row>19</xdr:row>
      <xdr:rowOff>114300</xdr:rowOff>
    </xdr:to>
    <xdr:pic>
      <xdr:nvPicPr>
        <xdr:cNvPr id="13" name="Picture 8"/>
        <xdr:cNvPicPr>
          <a:picLocks noChangeAspect="1" noChangeArrowheads="1"/>
        </xdr:cNvPicPr>
      </xdr:nvPicPr>
      <xdr:blipFill>
        <a:blip r:embed="rId12" cstate="print"/>
        <a:srcRect/>
        <a:stretch>
          <a:fillRect/>
        </a:stretch>
      </xdr:blipFill>
      <xdr:spPr>
        <a:xfrm>
          <a:off x="12944475" y="2831465"/>
          <a:ext cx="4474210" cy="2156460"/>
        </a:xfrm>
        <a:prstGeom prst="rect">
          <a:avLst/>
        </a:prstGeom>
        <a:noFill/>
        <a:ln w="1">
          <a:noFill/>
          <a:miter lim="800000"/>
          <a:headEnd/>
          <a:tailEnd type="none" w="med" len="med"/>
        </a:ln>
        <a:effectLst/>
      </xdr:spPr>
    </xdr:pic>
    <xdr:clientData/>
  </xdr:twoCellAnchor>
  <xdr:twoCellAnchor editAs="oneCell">
    <xdr:from>
      <xdr:col>20</xdr:col>
      <xdr:colOff>438150</xdr:colOff>
      <xdr:row>11</xdr:row>
      <xdr:rowOff>0</xdr:rowOff>
    </xdr:from>
    <xdr:to>
      <xdr:col>25</xdr:col>
      <xdr:colOff>133350</xdr:colOff>
      <xdr:row>19</xdr:row>
      <xdr:rowOff>147489</xdr:rowOff>
    </xdr:to>
    <xdr:pic>
      <xdr:nvPicPr>
        <xdr:cNvPr id="14" name="Picture 9"/>
        <xdr:cNvPicPr>
          <a:picLocks noChangeAspect="1" noChangeArrowheads="1"/>
        </xdr:cNvPicPr>
      </xdr:nvPicPr>
      <xdr:blipFill>
        <a:blip r:embed="rId13" cstate="print"/>
        <a:srcRect/>
        <a:stretch>
          <a:fillRect/>
        </a:stretch>
      </xdr:blipFill>
      <xdr:spPr>
        <a:xfrm>
          <a:off x="17430750" y="2831465"/>
          <a:ext cx="2981325" cy="2189480"/>
        </a:xfrm>
        <a:prstGeom prst="rect">
          <a:avLst/>
        </a:prstGeom>
        <a:noFill/>
        <a:ln w="1">
          <a:noFill/>
          <a:miter lim="800000"/>
          <a:headEnd/>
          <a:tailEnd type="none" w="med" len="med"/>
        </a:ln>
        <a:effectLst/>
      </xdr:spPr>
    </xdr:pic>
    <xdr:clientData/>
  </xdr:twoCellAnchor>
  <xdr:twoCellAnchor editAs="oneCell">
    <xdr:from>
      <xdr:col>5</xdr:col>
      <xdr:colOff>9525</xdr:colOff>
      <xdr:row>18</xdr:row>
      <xdr:rowOff>9525</xdr:rowOff>
    </xdr:from>
    <xdr:to>
      <xdr:col>14</xdr:col>
      <xdr:colOff>552450</xdr:colOff>
      <xdr:row>33</xdr:row>
      <xdr:rowOff>0</xdr:rowOff>
    </xdr:to>
    <xdr:pic>
      <xdr:nvPicPr>
        <xdr:cNvPr id="12289" name="Picture 1"/>
        <xdr:cNvPicPr>
          <a:picLocks noChangeAspect="1" noChangeArrowheads="1"/>
        </xdr:cNvPicPr>
      </xdr:nvPicPr>
      <xdr:blipFill>
        <a:blip r:embed="rId14" cstate="print"/>
        <a:srcRect/>
        <a:stretch>
          <a:fillRect/>
        </a:stretch>
      </xdr:blipFill>
      <xdr:spPr>
        <a:xfrm>
          <a:off x="5324475" y="4627880"/>
          <a:ext cx="7524750" cy="3819525"/>
        </a:xfrm>
        <a:prstGeom prst="rect">
          <a:avLst/>
        </a:prstGeom>
        <a:noFill/>
        <a:ln w="1">
          <a:noFill/>
          <a:miter lim="800000"/>
          <a:headEnd/>
          <a:tailEnd type="none" w="med" len="med"/>
        </a:ln>
        <a:effectLst/>
      </xdr:spPr>
    </xdr:pic>
    <xdr:clientData/>
  </xdr:twoCellAnchor>
  <xdr:twoCellAnchor editAs="oneCell">
    <xdr:from>
      <xdr:col>5</xdr:col>
      <xdr:colOff>9525</xdr:colOff>
      <xdr:row>32</xdr:row>
      <xdr:rowOff>57150</xdr:rowOff>
    </xdr:from>
    <xdr:to>
      <xdr:col>14</xdr:col>
      <xdr:colOff>581025</xdr:colOff>
      <xdr:row>49</xdr:row>
      <xdr:rowOff>85725</xdr:rowOff>
    </xdr:to>
    <xdr:pic>
      <xdr:nvPicPr>
        <xdr:cNvPr id="12290" name="Picture 2"/>
        <xdr:cNvPicPr>
          <a:picLocks noChangeAspect="1" noChangeArrowheads="1"/>
        </xdr:cNvPicPr>
      </xdr:nvPicPr>
      <xdr:blipFill>
        <a:blip r:embed="rId15" cstate="print"/>
        <a:srcRect/>
        <a:stretch>
          <a:fillRect/>
        </a:stretch>
      </xdr:blipFill>
      <xdr:spPr>
        <a:xfrm>
          <a:off x="5324475" y="8249285"/>
          <a:ext cx="7553325" cy="436816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7" name="五边形 16">
          <a:hlinkClick xmlns:r="http://schemas.openxmlformats.org/officeDocument/2006/relationships" r:id="rId16"/>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2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15</xdr:row>
      <xdr:rowOff>0</xdr:rowOff>
    </xdr:from>
    <xdr:to>
      <xdr:col>11</xdr:col>
      <xdr:colOff>142875</xdr:colOff>
      <xdr:row>36</xdr:row>
      <xdr:rowOff>76200</xdr:rowOff>
    </xdr:to>
    <xdr:pic>
      <xdr:nvPicPr>
        <xdr:cNvPr id="13322" name="Picture 10"/>
        <xdr:cNvPicPr>
          <a:picLocks noChangeAspect="1" noChangeArrowheads="1"/>
        </xdr:cNvPicPr>
      </xdr:nvPicPr>
      <xdr:blipFill>
        <a:blip r:embed="rId1" cstate="print"/>
        <a:srcRect/>
        <a:stretch>
          <a:fillRect/>
        </a:stretch>
      </xdr:blipFill>
      <xdr:spPr>
        <a:xfrm>
          <a:off x="6029325" y="3852545"/>
          <a:ext cx="5648325" cy="5436870"/>
        </a:xfrm>
        <a:prstGeom prst="rect">
          <a:avLst/>
        </a:prstGeom>
        <a:noFill/>
        <a:ln w="1">
          <a:noFill/>
          <a:miter lim="800000"/>
          <a:headEnd/>
          <a:tailEnd type="none" w="med" len="med"/>
        </a:ln>
        <a:effectLst/>
      </xdr:spPr>
    </xdr:pic>
    <xdr:clientData/>
  </xdr:twoCellAnchor>
  <xdr:twoCellAnchor editAs="oneCell">
    <xdr:from>
      <xdr:col>5</xdr:col>
      <xdr:colOff>9527</xdr:colOff>
      <xdr:row>0</xdr:row>
      <xdr:rowOff>1</xdr:rowOff>
    </xdr:from>
    <xdr:to>
      <xdr:col>9</xdr:col>
      <xdr:colOff>0</xdr:colOff>
      <xdr:row>7</xdr:row>
      <xdr:rowOff>142876</xdr:rowOff>
    </xdr:to>
    <xdr:pic>
      <xdr:nvPicPr>
        <xdr:cNvPr id="17" name="Picture 15"/>
        <xdr:cNvPicPr>
          <a:picLocks noChangeAspect="1" noChangeArrowheads="1"/>
        </xdr:cNvPicPr>
      </xdr:nvPicPr>
      <xdr:blipFill>
        <a:blip r:embed="rId2" cstate="print"/>
        <a:srcRect/>
        <a:stretch>
          <a:fillRect/>
        </a:stretch>
      </xdr:blipFill>
      <xdr:spPr>
        <a:xfrm>
          <a:off x="6038850" y="0"/>
          <a:ext cx="3714750" cy="1953260"/>
        </a:xfrm>
        <a:prstGeom prst="rect">
          <a:avLst/>
        </a:prstGeom>
        <a:noFill/>
        <a:ln w="1">
          <a:noFill/>
          <a:miter lim="800000"/>
          <a:headEnd/>
          <a:tailEnd type="none" w="med" len="med"/>
        </a:ln>
        <a:effectLst/>
      </xdr:spPr>
    </xdr:pic>
    <xdr:clientData/>
  </xdr:twoCellAnchor>
  <xdr:twoCellAnchor editAs="oneCell">
    <xdr:from>
      <xdr:col>4</xdr:col>
      <xdr:colOff>619125</xdr:colOff>
      <xdr:row>7</xdr:row>
      <xdr:rowOff>200025</xdr:rowOff>
    </xdr:from>
    <xdr:to>
      <xdr:col>8</xdr:col>
      <xdr:colOff>304799</xdr:colOff>
      <xdr:row>13</xdr:row>
      <xdr:rowOff>190500</xdr:rowOff>
    </xdr:to>
    <xdr:pic>
      <xdr:nvPicPr>
        <xdr:cNvPr id="13316" name="Picture 4"/>
        <xdr:cNvPicPr>
          <a:picLocks noChangeAspect="1" noChangeArrowheads="1"/>
        </xdr:cNvPicPr>
      </xdr:nvPicPr>
      <xdr:blipFill>
        <a:blip r:embed="rId3" cstate="print"/>
        <a:srcRect/>
        <a:stretch>
          <a:fillRect/>
        </a:stretch>
      </xdr:blipFill>
      <xdr:spPr>
        <a:xfrm>
          <a:off x="5991225" y="2010410"/>
          <a:ext cx="3256915" cy="1522095"/>
        </a:xfrm>
        <a:prstGeom prst="rect">
          <a:avLst/>
        </a:prstGeom>
        <a:noFill/>
        <a:ln w="1">
          <a:noFill/>
          <a:miter lim="800000"/>
          <a:headEnd/>
          <a:tailEnd type="none" w="med" len="med"/>
        </a:ln>
        <a:effectLst/>
      </xdr:spPr>
    </xdr:pic>
    <xdr:clientData/>
  </xdr:twoCellAnchor>
  <xdr:twoCellAnchor editAs="oneCell">
    <xdr:from>
      <xdr:col>8</xdr:col>
      <xdr:colOff>171450</xdr:colOff>
      <xdr:row>38</xdr:row>
      <xdr:rowOff>9525</xdr:rowOff>
    </xdr:from>
    <xdr:to>
      <xdr:col>16</xdr:col>
      <xdr:colOff>28575</xdr:colOff>
      <xdr:row>56</xdr:row>
      <xdr:rowOff>200025</xdr:rowOff>
    </xdr:to>
    <xdr:pic>
      <xdr:nvPicPr>
        <xdr:cNvPr id="13319" name="Picture 7"/>
        <xdr:cNvPicPr>
          <a:picLocks noChangeAspect="1" noChangeArrowheads="1"/>
        </xdr:cNvPicPr>
      </xdr:nvPicPr>
      <xdr:blipFill>
        <a:blip r:embed="rId4" cstate="print"/>
        <a:srcRect/>
        <a:stretch>
          <a:fillRect/>
        </a:stretch>
      </xdr:blipFill>
      <xdr:spPr>
        <a:xfrm>
          <a:off x="9115425" y="9733280"/>
          <a:ext cx="5676900" cy="4785360"/>
        </a:xfrm>
        <a:prstGeom prst="rect">
          <a:avLst/>
        </a:prstGeom>
        <a:noFill/>
        <a:ln w="1">
          <a:noFill/>
          <a:miter lim="800000"/>
          <a:headEnd/>
          <a:tailEnd type="none" w="med" len="med"/>
        </a:ln>
        <a:effectLst/>
      </xdr:spPr>
    </xdr:pic>
    <xdr:clientData/>
  </xdr:twoCellAnchor>
  <xdr:twoCellAnchor editAs="oneCell">
    <xdr:from>
      <xdr:col>16</xdr:col>
      <xdr:colOff>342900</xdr:colOff>
      <xdr:row>38</xdr:row>
      <xdr:rowOff>19050</xdr:rowOff>
    </xdr:from>
    <xdr:to>
      <xdr:col>24</xdr:col>
      <xdr:colOff>142875</xdr:colOff>
      <xdr:row>62</xdr:row>
      <xdr:rowOff>142875</xdr:rowOff>
    </xdr:to>
    <xdr:pic>
      <xdr:nvPicPr>
        <xdr:cNvPr id="13320" name="Picture 8"/>
        <xdr:cNvPicPr>
          <a:picLocks noChangeAspect="1" noChangeArrowheads="1"/>
        </xdr:cNvPicPr>
      </xdr:nvPicPr>
      <xdr:blipFill>
        <a:blip r:embed="rId5" cstate="print"/>
        <a:srcRect/>
        <a:stretch>
          <a:fillRect/>
        </a:stretch>
      </xdr:blipFill>
      <xdr:spPr>
        <a:xfrm>
          <a:off x="15106650" y="9742805"/>
          <a:ext cx="5667375" cy="6250305"/>
        </a:xfrm>
        <a:prstGeom prst="rect">
          <a:avLst/>
        </a:prstGeom>
        <a:noFill/>
        <a:ln w="1">
          <a:noFill/>
          <a:miter lim="800000"/>
          <a:headEnd/>
          <a:tailEnd type="none" w="med" len="med"/>
        </a:ln>
        <a:effectLst/>
      </xdr:spPr>
    </xdr:pic>
    <xdr:clientData/>
  </xdr:twoCellAnchor>
  <xdr:twoCellAnchor editAs="oneCell">
    <xdr:from>
      <xdr:col>5</xdr:col>
      <xdr:colOff>0</xdr:colOff>
      <xdr:row>38</xdr:row>
      <xdr:rowOff>0</xdr:rowOff>
    </xdr:from>
    <xdr:to>
      <xdr:col>7</xdr:col>
      <xdr:colOff>628650</xdr:colOff>
      <xdr:row>43</xdr:row>
      <xdr:rowOff>133350</xdr:rowOff>
    </xdr:to>
    <xdr:pic>
      <xdr:nvPicPr>
        <xdr:cNvPr id="13325" name="Picture 13"/>
        <xdr:cNvPicPr>
          <a:picLocks noChangeAspect="1" noChangeArrowheads="1"/>
        </xdr:cNvPicPr>
      </xdr:nvPicPr>
      <xdr:blipFill>
        <a:blip r:embed="rId6" cstate="print"/>
        <a:srcRect/>
        <a:stretch>
          <a:fillRect/>
        </a:stretch>
      </xdr:blipFill>
      <xdr:spPr>
        <a:xfrm>
          <a:off x="6029325" y="9723755"/>
          <a:ext cx="2733675" cy="1409700"/>
        </a:xfrm>
        <a:prstGeom prst="rect">
          <a:avLst/>
        </a:prstGeom>
        <a:noFill/>
        <a:ln w="1">
          <a:noFill/>
          <a:miter lim="800000"/>
          <a:headEnd/>
          <a:tailEnd type="none" w="med" len="med"/>
        </a:ln>
        <a:effectLst/>
      </xdr:spPr>
    </xdr:pic>
    <xdr:clientData/>
  </xdr:twoCellAnchor>
  <xdr:oneCellAnchor>
    <xdr:from>
      <xdr:col>6</xdr:col>
      <xdr:colOff>733425</xdr:colOff>
      <xdr:row>0</xdr:row>
      <xdr:rowOff>0</xdr:rowOff>
    </xdr:from>
    <xdr:ext cx="1454244" cy="334451"/>
    <xdr:sp>
      <xdr:nvSpPr>
        <xdr:cNvPr id="28" name="TextBox 27"/>
        <xdr:cNvSpPr txBox="1"/>
      </xdr:nvSpPr>
      <xdr:spPr>
        <a:xfrm>
          <a:off x="7858125" y="0"/>
          <a:ext cx="1454150" cy="3340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100">
              <a:latin typeface="微软雅黑" panose="020B0503020204020204" pitchFamily="34" charset="-122"/>
              <a:ea typeface="微软雅黑" panose="020B0503020204020204" pitchFamily="34" charset="-122"/>
            </a:rPr>
            <a:t>负载运行速度示意图</a:t>
          </a:r>
          <a:endParaRPr lang="zh-CN" altLang="en-US" sz="1100">
            <a:latin typeface="微软雅黑" panose="020B0503020204020204" pitchFamily="34" charset="-122"/>
            <a:ea typeface="微软雅黑" panose="020B0503020204020204" pitchFamily="34" charset="-122"/>
          </a:endParaRPr>
        </a:p>
      </xdr:txBody>
    </xdr:sp>
    <xdr:clientData/>
  </xdr:oneCellAnchor>
  <xdr:twoCellAnchor>
    <xdr:from>
      <xdr:col>5</xdr:col>
      <xdr:colOff>752475</xdr:colOff>
      <xdr:row>72</xdr:row>
      <xdr:rowOff>95250</xdr:rowOff>
    </xdr:from>
    <xdr:to>
      <xdr:col>7</xdr:col>
      <xdr:colOff>180975</xdr:colOff>
      <xdr:row>72</xdr:row>
      <xdr:rowOff>95250</xdr:rowOff>
    </xdr:to>
    <xdr:cxnSp>
      <xdr:nvCxnSpPr>
        <xdr:cNvPr id="35" name="直接箭头连接符 34"/>
        <xdr:cNvCxnSpPr/>
      </xdr:nvCxnSpPr>
      <xdr:spPr>
        <a:xfrm>
          <a:off x="6781800" y="18498185"/>
          <a:ext cx="1533525" cy="0"/>
        </a:xfrm>
        <a:prstGeom prst="straightConnector1">
          <a:avLst/>
        </a:prstGeom>
        <a:ln>
          <a:tailEnd type="arrow"/>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5</xdr:col>
      <xdr:colOff>19050</xdr:colOff>
      <xdr:row>60</xdr:row>
      <xdr:rowOff>38100</xdr:rowOff>
    </xdr:from>
    <xdr:to>
      <xdr:col>11</xdr:col>
      <xdr:colOff>123825</xdr:colOff>
      <xdr:row>80</xdr:row>
      <xdr:rowOff>180975</xdr:rowOff>
    </xdr:to>
    <xdr:pic>
      <xdr:nvPicPr>
        <xdr:cNvPr id="13330" name="Picture 18"/>
        <xdr:cNvPicPr>
          <a:picLocks noChangeAspect="1" noChangeArrowheads="1"/>
        </xdr:cNvPicPr>
      </xdr:nvPicPr>
      <xdr:blipFill>
        <a:blip r:embed="rId7" cstate="print"/>
        <a:srcRect/>
        <a:stretch>
          <a:fillRect/>
        </a:stretch>
      </xdr:blipFill>
      <xdr:spPr>
        <a:xfrm>
          <a:off x="6048375" y="15377795"/>
          <a:ext cx="5610225" cy="5248275"/>
        </a:xfrm>
        <a:prstGeom prst="rect">
          <a:avLst/>
        </a:prstGeom>
        <a:noFill/>
        <a:ln w="1">
          <a:noFill/>
          <a:miter lim="800000"/>
          <a:headEnd/>
          <a:tailEnd type="none" w="med" len="med"/>
        </a:ln>
        <a:effectLst/>
      </xdr:spPr>
    </xdr:pic>
    <xdr:clientData/>
  </xdr:twoCellAnchor>
  <xdr:twoCellAnchor editAs="oneCell">
    <xdr:from>
      <xdr:col>8</xdr:col>
      <xdr:colOff>419101</xdr:colOff>
      <xdr:row>8</xdr:row>
      <xdr:rowOff>171450</xdr:rowOff>
    </xdr:from>
    <xdr:to>
      <xdr:col>12</xdr:col>
      <xdr:colOff>400050</xdr:colOff>
      <xdr:row>13</xdr:row>
      <xdr:rowOff>130125</xdr:rowOff>
    </xdr:to>
    <xdr:pic>
      <xdr:nvPicPr>
        <xdr:cNvPr id="13336" name="Picture 24"/>
        <xdr:cNvPicPr>
          <a:picLocks noChangeAspect="1" noChangeArrowheads="1"/>
        </xdr:cNvPicPr>
      </xdr:nvPicPr>
      <xdr:blipFill>
        <a:blip r:embed="rId8" cstate="print"/>
        <a:srcRect/>
        <a:stretch>
          <a:fillRect/>
        </a:stretch>
      </xdr:blipFill>
      <xdr:spPr>
        <a:xfrm>
          <a:off x="9363075" y="2237105"/>
          <a:ext cx="3152775" cy="1234440"/>
        </a:xfrm>
        <a:prstGeom prst="rect">
          <a:avLst/>
        </a:prstGeom>
        <a:noFill/>
        <a:ln w="1">
          <a:noFill/>
          <a:miter lim="800000"/>
          <a:headEnd/>
          <a:tailEnd type="none" w="med" len="med"/>
        </a:ln>
        <a:effectLst/>
      </xdr:spPr>
    </xdr:pic>
    <xdr:clientData/>
  </xdr:twoCellAnchor>
  <xdr:twoCellAnchor editAs="oneCell">
    <xdr:from>
      <xdr:col>12</xdr:col>
      <xdr:colOff>523875</xdr:colOff>
      <xdr:row>9</xdr:row>
      <xdr:rowOff>57149</xdr:rowOff>
    </xdr:from>
    <xdr:to>
      <xdr:col>17</xdr:col>
      <xdr:colOff>409575</xdr:colOff>
      <xdr:row>12</xdr:row>
      <xdr:rowOff>200024</xdr:rowOff>
    </xdr:to>
    <xdr:pic>
      <xdr:nvPicPr>
        <xdr:cNvPr id="13337" name="Picture 25"/>
        <xdr:cNvPicPr>
          <a:picLocks noChangeAspect="1" noChangeArrowheads="1"/>
        </xdr:cNvPicPr>
      </xdr:nvPicPr>
      <xdr:blipFill>
        <a:blip r:embed="rId9" cstate="print"/>
        <a:srcRect/>
        <a:stretch>
          <a:fillRect/>
        </a:stretch>
      </xdr:blipFill>
      <xdr:spPr>
        <a:xfrm>
          <a:off x="12639675" y="2377440"/>
          <a:ext cx="3343275" cy="908685"/>
        </a:xfrm>
        <a:prstGeom prst="rect">
          <a:avLst/>
        </a:prstGeom>
        <a:noFill/>
        <a:ln w="1">
          <a:noFill/>
          <a:miter lim="800000"/>
          <a:headEnd/>
          <a:tailEnd type="none" w="med" len="med"/>
        </a:ln>
        <a:effectLst/>
      </xdr:spPr>
    </xdr:pic>
    <xdr:clientData/>
  </xdr:twoCellAnchor>
  <xdr:twoCellAnchor editAs="oneCell">
    <xdr:from>
      <xdr:col>9</xdr:col>
      <xdr:colOff>1</xdr:colOff>
      <xdr:row>0</xdr:row>
      <xdr:rowOff>0</xdr:rowOff>
    </xdr:from>
    <xdr:to>
      <xdr:col>11</xdr:col>
      <xdr:colOff>485776</xdr:colOff>
      <xdr:row>4</xdr:row>
      <xdr:rowOff>101356</xdr:rowOff>
    </xdr:to>
    <xdr:pic>
      <xdr:nvPicPr>
        <xdr:cNvPr id="13338" name="Picture 26"/>
        <xdr:cNvPicPr>
          <a:picLocks noChangeAspect="1" noChangeArrowheads="1"/>
        </xdr:cNvPicPr>
      </xdr:nvPicPr>
      <xdr:blipFill>
        <a:blip r:embed="rId10" cstate="print"/>
        <a:srcRect/>
        <a:stretch>
          <a:fillRect/>
        </a:stretch>
      </xdr:blipFill>
      <xdr:spPr>
        <a:xfrm>
          <a:off x="9753600" y="0"/>
          <a:ext cx="2266950" cy="1145540"/>
        </a:xfrm>
        <a:prstGeom prst="rect">
          <a:avLst/>
        </a:prstGeom>
        <a:noFill/>
        <a:ln w="1">
          <a:noFill/>
          <a:miter lim="800000"/>
          <a:headEnd/>
          <a:tailEnd type="none" w="med" len="med"/>
        </a:ln>
        <a:effectLst/>
      </xdr:spPr>
    </xdr:pic>
    <xdr:clientData/>
  </xdr:twoCellAnchor>
  <xdr:twoCellAnchor editAs="oneCell">
    <xdr:from>
      <xdr:col>5</xdr:col>
      <xdr:colOff>0</xdr:colOff>
      <xdr:row>45</xdr:row>
      <xdr:rowOff>0</xdr:rowOff>
    </xdr:from>
    <xdr:to>
      <xdr:col>7</xdr:col>
      <xdr:colOff>428625</xdr:colOff>
      <xdr:row>51</xdr:row>
      <xdr:rowOff>85725</xdr:rowOff>
    </xdr:to>
    <xdr:pic>
      <xdr:nvPicPr>
        <xdr:cNvPr id="29" name="Picture 19"/>
        <xdr:cNvPicPr>
          <a:picLocks noChangeAspect="1" noChangeArrowheads="1"/>
        </xdr:cNvPicPr>
      </xdr:nvPicPr>
      <xdr:blipFill>
        <a:blip r:embed="rId11" cstate="print"/>
        <a:srcRect/>
        <a:stretch>
          <a:fillRect/>
        </a:stretch>
      </xdr:blipFill>
      <xdr:spPr>
        <a:xfrm>
          <a:off x="6029325" y="11510645"/>
          <a:ext cx="2533650" cy="161734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5" name="五边形 14">
          <a:hlinkClick xmlns:r="http://schemas.openxmlformats.org/officeDocument/2006/relationships" r:id="rId12"/>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mc:AlternateContent xmlns:mc="http://schemas.openxmlformats.org/markup-compatibility/2006">
    <mc:Choice xmlns:a14="http://schemas.microsoft.com/office/drawing/2010/main" Requires="a14">
      <xdr:twoCellAnchor editAs="oneCell">
        <xdr:from>
          <xdr:col>3</xdr:col>
          <xdr:colOff>7620</xdr:colOff>
          <xdr:row>67</xdr:row>
          <xdr:rowOff>0</xdr:rowOff>
        </xdr:from>
        <xdr:to>
          <xdr:col>5</xdr:col>
          <xdr:colOff>15240</xdr:colOff>
          <xdr:row>69</xdr:row>
          <xdr:rowOff>0</xdr:rowOff>
        </xdr:to>
        <xdr:sp>
          <xdr:nvSpPr>
            <xdr:cNvPr id="13333" name="Object 21" hidden="1">
              <a:extLst>
                <a:ext uri="{63B3BB69-23CF-44E3-9099-C40C66FF867C}">
                  <a14:compatExt spid="_x0000_s13333"/>
                </a:ext>
              </a:extLst>
            </xdr:cNvPr>
            <xdr:cNvSpPr/>
          </xdr:nvSpPr>
          <xdr:spPr>
            <a:xfrm>
              <a:off x="4046220" y="17126585"/>
              <a:ext cx="1998345" cy="510540"/>
            </a:xfrm>
            <a:prstGeom prst="rect">
              <a:avLst/>
            </a:prstGeom>
          </xdr:spPr>
        </xdr:sp>
        <xdr:clientData/>
      </xdr:twoCellAnchor>
    </mc:Choice>
    <mc:Fallback/>
  </mc:AlternateContent>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9526</xdr:colOff>
      <xdr:row>18</xdr:row>
      <xdr:rowOff>9525</xdr:rowOff>
    </xdr:from>
    <xdr:to>
      <xdr:col>4</xdr:col>
      <xdr:colOff>400051</xdr:colOff>
      <xdr:row>21</xdr:row>
      <xdr:rowOff>238125</xdr:rowOff>
    </xdr:to>
    <xdr:pic>
      <xdr:nvPicPr>
        <xdr:cNvPr id="32808" name="Picture 40"/>
        <xdr:cNvPicPr>
          <a:picLocks noChangeAspect="1" noChangeArrowheads="1"/>
        </xdr:cNvPicPr>
      </xdr:nvPicPr>
      <xdr:blipFill>
        <a:blip r:embed="rId1" cstate="print"/>
        <a:srcRect/>
        <a:stretch>
          <a:fillRect/>
        </a:stretch>
      </xdr:blipFill>
      <xdr:spPr>
        <a:xfrm>
          <a:off x="3714750" y="4617720"/>
          <a:ext cx="1733550" cy="994410"/>
        </a:xfrm>
        <a:prstGeom prst="rect">
          <a:avLst/>
        </a:prstGeom>
        <a:noFill/>
        <a:ln w="1">
          <a:noFill/>
          <a:miter lim="800000"/>
          <a:headEnd/>
          <a:tailEnd type="none" w="med" len="med"/>
        </a:ln>
        <a:effectLst/>
      </xdr:spPr>
    </xdr:pic>
    <xdr:clientData/>
  </xdr:twoCellAnchor>
  <xdr:twoCellAnchor>
    <xdr:from>
      <xdr:col>2</xdr:col>
      <xdr:colOff>1076323</xdr:colOff>
      <xdr:row>8</xdr:row>
      <xdr:rowOff>133350</xdr:rowOff>
    </xdr:from>
    <xdr:to>
      <xdr:col>3</xdr:col>
      <xdr:colOff>838199</xdr:colOff>
      <xdr:row>9</xdr:row>
      <xdr:rowOff>133353</xdr:rowOff>
    </xdr:to>
    <xdr:sp>
      <xdr:nvSpPr>
        <xdr:cNvPr id="23" name="圆柱形 22"/>
        <xdr:cNvSpPr/>
      </xdr:nvSpPr>
      <xdr:spPr>
        <a:xfrm rot="5400000">
          <a:off x="3938905" y="1840230"/>
          <a:ext cx="255905" cy="952500"/>
        </a:xfrm>
        <a:prstGeom prst="can">
          <a:avLst>
            <a:gd name="adj" fmla="val 48881"/>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rtlCol="0" anchor="ctr"/>
        <a:lstStyle/>
        <a:p>
          <a:pPr algn="ctr"/>
          <a:endParaRPr lang="zh-CN" altLang="en-US" sz="1100"/>
        </a:p>
      </xdr:txBody>
    </xdr:sp>
    <xdr:clientData/>
  </xdr:twoCellAnchor>
  <xdr:twoCellAnchor>
    <xdr:from>
      <xdr:col>3</xdr:col>
      <xdr:colOff>704849</xdr:colOff>
      <xdr:row>6</xdr:row>
      <xdr:rowOff>133351</xdr:rowOff>
    </xdr:from>
    <xdr:to>
      <xdr:col>3</xdr:col>
      <xdr:colOff>1000125</xdr:colOff>
      <xdr:row>11</xdr:row>
      <xdr:rowOff>180976</xdr:rowOff>
    </xdr:to>
    <xdr:sp>
      <xdr:nvSpPr>
        <xdr:cNvPr id="25" name="圆柱形 24"/>
        <xdr:cNvSpPr/>
      </xdr:nvSpPr>
      <xdr:spPr>
        <a:xfrm rot="5400000">
          <a:off x="3895090" y="2192655"/>
          <a:ext cx="1323975" cy="295275"/>
        </a:xfrm>
        <a:prstGeom prst="can">
          <a:avLst>
            <a:gd name="adj" fmla="val 50000"/>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rtlCol="0" anchor="ctr"/>
        <a:lstStyle/>
        <a:p>
          <a:pPr algn="ctr"/>
          <a:endParaRPr lang="zh-CN" altLang="en-US" sz="1100"/>
        </a:p>
      </xdr:txBody>
    </xdr:sp>
    <xdr:clientData/>
  </xdr:twoCellAnchor>
  <xdr:twoCellAnchor editAs="oneCell">
    <xdr:from>
      <xdr:col>6</xdr:col>
      <xdr:colOff>219075</xdr:colOff>
      <xdr:row>51</xdr:row>
      <xdr:rowOff>1</xdr:rowOff>
    </xdr:from>
    <xdr:to>
      <xdr:col>15</xdr:col>
      <xdr:colOff>722028</xdr:colOff>
      <xdr:row>58</xdr:row>
      <xdr:rowOff>238125</xdr:rowOff>
    </xdr:to>
    <xdr:pic>
      <xdr:nvPicPr>
        <xdr:cNvPr id="32783" name="Picture 15"/>
        <xdr:cNvPicPr>
          <a:picLocks noChangeAspect="1" noChangeArrowheads="1"/>
        </xdr:cNvPicPr>
      </xdr:nvPicPr>
      <xdr:blipFill>
        <a:blip r:embed="rId2" cstate="print"/>
        <a:srcRect/>
        <a:stretch>
          <a:fillRect/>
        </a:stretch>
      </xdr:blipFill>
      <xdr:spPr>
        <a:xfrm>
          <a:off x="6505575" y="13032105"/>
          <a:ext cx="7837170" cy="2025015"/>
        </a:xfrm>
        <a:prstGeom prst="rect">
          <a:avLst/>
        </a:prstGeom>
        <a:noFill/>
        <a:ln w="1">
          <a:noFill/>
          <a:miter lim="800000"/>
          <a:headEnd/>
          <a:tailEnd type="none" w="med" len="med"/>
        </a:ln>
        <a:effectLst/>
      </xdr:spPr>
    </xdr:pic>
    <xdr:clientData/>
  </xdr:twoCellAnchor>
  <xdr:twoCellAnchor editAs="oneCell">
    <xdr:from>
      <xdr:col>5</xdr:col>
      <xdr:colOff>9525</xdr:colOff>
      <xdr:row>51</xdr:row>
      <xdr:rowOff>0</xdr:rowOff>
    </xdr:from>
    <xdr:to>
      <xdr:col>6</xdr:col>
      <xdr:colOff>251460</xdr:colOff>
      <xdr:row>58</xdr:row>
      <xdr:rowOff>238125</xdr:rowOff>
    </xdr:to>
    <xdr:pic>
      <xdr:nvPicPr>
        <xdr:cNvPr id="32784" name="Picture 16"/>
        <xdr:cNvPicPr>
          <a:picLocks noChangeAspect="1" noChangeArrowheads="1"/>
        </xdr:cNvPicPr>
      </xdr:nvPicPr>
      <xdr:blipFill>
        <a:blip r:embed="rId3" cstate="print"/>
        <a:srcRect/>
        <a:stretch>
          <a:fillRect/>
        </a:stretch>
      </xdr:blipFill>
      <xdr:spPr>
        <a:xfrm>
          <a:off x="5486400" y="13032105"/>
          <a:ext cx="1051560" cy="2025015"/>
        </a:xfrm>
        <a:prstGeom prst="rect">
          <a:avLst/>
        </a:prstGeom>
        <a:noFill/>
        <a:ln w="1">
          <a:noFill/>
          <a:miter lim="800000"/>
          <a:headEnd/>
          <a:tailEnd type="none" w="med" len="med"/>
        </a:ln>
        <a:effectLst/>
      </xdr:spPr>
    </xdr:pic>
    <xdr:clientData/>
  </xdr:twoCellAnchor>
  <xdr:twoCellAnchor editAs="oneCell">
    <xdr:from>
      <xdr:col>5</xdr:col>
      <xdr:colOff>9525</xdr:colOff>
      <xdr:row>99</xdr:row>
      <xdr:rowOff>0</xdr:rowOff>
    </xdr:from>
    <xdr:to>
      <xdr:col>12</xdr:col>
      <xdr:colOff>381000</xdr:colOff>
      <xdr:row>109</xdr:row>
      <xdr:rowOff>19050</xdr:rowOff>
    </xdr:to>
    <xdr:pic>
      <xdr:nvPicPr>
        <xdr:cNvPr id="32793" name="Picture 25"/>
        <xdr:cNvPicPr>
          <a:picLocks noChangeAspect="1" noChangeArrowheads="1"/>
        </xdr:cNvPicPr>
      </xdr:nvPicPr>
      <xdr:blipFill>
        <a:blip r:embed="rId4" cstate="print"/>
        <a:srcRect/>
        <a:stretch>
          <a:fillRect/>
        </a:stretch>
      </xdr:blipFill>
      <xdr:spPr>
        <a:xfrm>
          <a:off x="5486400" y="25285065"/>
          <a:ext cx="6038850" cy="2571750"/>
        </a:xfrm>
        <a:prstGeom prst="rect">
          <a:avLst/>
        </a:prstGeom>
        <a:noFill/>
        <a:ln w="1">
          <a:noFill/>
          <a:miter lim="800000"/>
          <a:headEnd/>
          <a:tailEnd type="none" w="med" len="med"/>
        </a:ln>
        <a:effectLst/>
      </xdr:spPr>
    </xdr:pic>
    <xdr:clientData/>
  </xdr:twoCellAnchor>
  <xdr:twoCellAnchor editAs="oneCell">
    <xdr:from>
      <xdr:col>5</xdr:col>
      <xdr:colOff>9525</xdr:colOff>
      <xdr:row>90</xdr:row>
      <xdr:rowOff>0</xdr:rowOff>
    </xdr:from>
    <xdr:to>
      <xdr:col>12</xdr:col>
      <xdr:colOff>247650</xdr:colOff>
      <xdr:row>98</xdr:row>
      <xdr:rowOff>219075</xdr:rowOff>
    </xdr:to>
    <xdr:pic>
      <xdr:nvPicPr>
        <xdr:cNvPr id="32795" name="Picture 27"/>
        <xdr:cNvPicPr>
          <a:picLocks noChangeAspect="1" noChangeArrowheads="1"/>
        </xdr:cNvPicPr>
      </xdr:nvPicPr>
      <xdr:blipFill>
        <a:blip r:embed="rId5" cstate="print"/>
        <a:srcRect/>
        <a:stretch>
          <a:fillRect/>
        </a:stretch>
      </xdr:blipFill>
      <xdr:spPr>
        <a:xfrm>
          <a:off x="5486400" y="22987635"/>
          <a:ext cx="5905500" cy="2261235"/>
        </a:xfrm>
        <a:prstGeom prst="rect">
          <a:avLst/>
        </a:prstGeom>
        <a:noFill/>
        <a:ln w="1">
          <a:noFill/>
          <a:miter lim="800000"/>
          <a:headEnd/>
          <a:tailEnd type="none" w="med" len="med"/>
        </a:ln>
        <a:effectLst/>
      </xdr:spPr>
    </xdr:pic>
    <xdr:clientData/>
  </xdr:twoCellAnchor>
  <xdr:twoCellAnchor editAs="oneCell">
    <xdr:from>
      <xdr:col>12</xdr:col>
      <xdr:colOff>219075</xdr:colOff>
      <xdr:row>90</xdr:row>
      <xdr:rowOff>0</xdr:rowOff>
    </xdr:from>
    <xdr:to>
      <xdr:col>15</xdr:col>
      <xdr:colOff>142875</xdr:colOff>
      <xdr:row>98</xdr:row>
      <xdr:rowOff>209550</xdr:rowOff>
    </xdr:to>
    <xdr:pic>
      <xdr:nvPicPr>
        <xdr:cNvPr id="32796" name="Picture 28"/>
        <xdr:cNvPicPr>
          <a:picLocks noChangeAspect="1" noChangeArrowheads="1"/>
        </xdr:cNvPicPr>
      </xdr:nvPicPr>
      <xdr:blipFill>
        <a:blip r:embed="rId6" cstate="print"/>
        <a:srcRect/>
        <a:stretch>
          <a:fillRect/>
        </a:stretch>
      </xdr:blipFill>
      <xdr:spPr>
        <a:xfrm>
          <a:off x="11363325" y="22987635"/>
          <a:ext cx="2400300" cy="2251710"/>
        </a:xfrm>
        <a:prstGeom prst="rect">
          <a:avLst/>
        </a:prstGeom>
        <a:noFill/>
        <a:ln w="1">
          <a:noFill/>
          <a:miter lim="800000"/>
          <a:headEnd/>
          <a:tailEnd type="none" w="med" len="med"/>
        </a:ln>
        <a:effectLst/>
      </xdr:spPr>
    </xdr:pic>
    <xdr:clientData/>
  </xdr:twoCellAnchor>
  <xdr:twoCellAnchor editAs="oneCell">
    <xdr:from>
      <xdr:col>6</xdr:col>
      <xdr:colOff>85725</xdr:colOff>
      <xdr:row>60</xdr:row>
      <xdr:rowOff>0</xdr:rowOff>
    </xdr:from>
    <xdr:to>
      <xdr:col>14</xdr:col>
      <xdr:colOff>1057275</xdr:colOff>
      <xdr:row>67</xdr:row>
      <xdr:rowOff>171450</xdr:rowOff>
    </xdr:to>
    <xdr:pic>
      <xdr:nvPicPr>
        <xdr:cNvPr id="12" name="Picture 31"/>
        <xdr:cNvPicPr>
          <a:picLocks noChangeAspect="1" noChangeArrowheads="1"/>
        </xdr:cNvPicPr>
      </xdr:nvPicPr>
      <xdr:blipFill>
        <a:blip r:embed="rId7" cstate="print"/>
        <a:srcRect/>
        <a:stretch>
          <a:fillRect/>
        </a:stretch>
      </xdr:blipFill>
      <xdr:spPr>
        <a:xfrm>
          <a:off x="6372225" y="15329535"/>
          <a:ext cx="7105650" cy="1958340"/>
        </a:xfrm>
        <a:prstGeom prst="rect">
          <a:avLst/>
        </a:prstGeom>
        <a:noFill/>
        <a:ln w="1">
          <a:noFill/>
          <a:miter lim="800000"/>
          <a:headEnd/>
          <a:tailEnd type="none" w="med" len="med"/>
        </a:ln>
        <a:effectLst/>
      </xdr:spPr>
    </xdr:pic>
    <xdr:clientData/>
  </xdr:twoCellAnchor>
  <xdr:twoCellAnchor editAs="oneCell">
    <xdr:from>
      <xdr:col>14</xdr:col>
      <xdr:colOff>1038225</xdr:colOff>
      <xdr:row>60</xdr:row>
      <xdr:rowOff>0</xdr:rowOff>
    </xdr:from>
    <xdr:to>
      <xdr:col>15</xdr:col>
      <xdr:colOff>962025</xdr:colOff>
      <xdr:row>67</xdr:row>
      <xdr:rowOff>161925</xdr:rowOff>
    </xdr:to>
    <xdr:pic>
      <xdr:nvPicPr>
        <xdr:cNvPr id="13" name="Picture 32"/>
        <xdr:cNvPicPr>
          <a:picLocks noChangeAspect="1" noChangeArrowheads="1"/>
        </xdr:cNvPicPr>
      </xdr:nvPicPr>
      <xdr:blipFill>
        <a:blip r:embed="rId8" cstate="print"/>
        <a:srcRect/>
        <a:stretch>
          <a:fillRect/>
        </a:stretch>
      </xdr:blipFill>
      <xdr:spPr>
        <a:xfrm>
          <a:off x="13458825" y="15329535"/>
          <a:ext cx="1123950" cy="1948815"/>
        </a:xfrm>
        <a:prstGeom prst="rect">
          <a:avLst/>
        </a:prstGeom>
        <a:noFill/>
        <a:ln w="1">
          <a:noFill/>
          <a:miter lim="800000"/>
          <a:headEnd/>
          <a:tailEnd type="none" w="med" len="med"/>
        </a:ln>
        <a:effectLst/>
      </xdr:spPr>
    </xdr:pic>
    <xdr:clientData/>
  </xdr:twoCellAnchor>
  <xdr:twoCellAnchor editAs="oneCell">
    <xdr:from>
      <xdr:col>5</xdr:col>
      <xdr:colOff>9525</xdr:colOff>
      <xdr:row>60</xdr:row>
      <xdr:rowOff>1</xdr:rowOff>
    </xdr:from>
    <xdr:to>
      <xdr:col>6</xdr:col>
      <xdr:colOff>97351</xdr:colOff>
      <xdr:row>67</xdr:row>
      <xdr:rowOff>228600</xdr:rowOff>
    </xdr:to>
    <xdr:pic>
      <xdr:nvPicPr>
        <xdr:cNvPr id="14" name="Picture 33"/>
        <xdr:cNvPicPr>
          <a:picLocks noChangeAspect="1" noChangeArrowheads="1"/>
        </xdr:cNvPicPr>
      </xdr:nvPicPr>
      <xdr:blipFill>
        <a:blip r:embed="rId9" cstate="print"/>
        <a:srcRect/>
        <a:stretch>
          <a:fillRect/>
        </a:stretch>
      </xdr:blipFill>
      <xdr:spPr>
        <a:xfrm>
          <a:off x="5486400" y="15329535"/>
          <a:ext cx="897255" cy="2015490"/>
        </a:xfrm>
        <a:prstGeom prst="rect">
          <a:avLst/>
        </a:prstGeom>
        <a:noFill/>
        <a:ln w="1">
          <a:noFill/>
          <a:miter lim="800000"/>
          <a:headEnd/>
          <a:tailEnd type="none" w="med" len="med"/>
        </a:ln>
        <a:effectLst/>
      </xdr:spPr>
    </xdr:pic>
    <xdr:clientData/>
  </xdr:twoCellAnchor>
  <xdr:twoCellAnchor editAs="oneCell">
    <xdr:from>
      <xdr:col>5</xdr:col>
      <xdr:colOff>9525</xdr:colOff>
      <xdr:row>78</xdr:row>
      <xdr:rowOff>0</xdr:rowOff>
    </xdr:from>
    <xdr:to>
      <xdr:col>11</xdr:col>
      <xdr:colOff>552450</xdr:colOff>
      <xdr:row>88</xdr:row>
      <xdr:rowOff>238125</xdr:rowOff>
    </xdr:to>
    <xdr:pic>
      <xdr:nvPicPr>
        <xdr:cNvPr id="32802" name="Picture 34"/>
        <xdr:cNvPicPr>
          <a:picLocks noChangeAspect="1" noChangeArrowheads="1"/>
        </xdr:cNvPicPr>
      </xdr:nvPicPr>
      <xdr:blipFill>
        <a:blip r:embed="rId10" cstate="print"/>
        <a:srcRect/>
        <a:stretch>
          <a:fillRect/>
        </a:stretch>
      </xdr:blipFill>
      <xdr:spPr>
        <a:xfrm>
          <a:off x="5486400" y="19924395"/>
          <a:ext cx="5400675" cy="2790825"/>
        </a:xfrm>
        <a:prstGeom prst="rect">
          <a:avLst/>
        </a:prstGeom>
        <a:noFill/>
        <a:ln w="1">
          <a:noFill/>
          <a:miter lim="800000"/>
          <a:headEnd/>
          <a:tailEnd type="none" w="med" len="med"/>
        </a:ln>
        <a:effectLst/>
      </xdr:spPr>
    </xdr:pic>
    <xdr:clientData/>
  </xdr:twoCellAnchor>
  <xdr:twoCellAnchor editAs="oneCell">
    <xdr:from>
      <xdr:col>5</xdr:col>
      <xdr:colOff>9525</xdr:colOff>
      <xdr:row>69</xdr:row>
      <xdr:rowOff>0</xdr:rowOff>
    </xdr:from>
    <xdr:to>
      <xdr:col>14</xdr:col>
      <xdr:colOff>123825</xdr:colOff>
      <xdr:row>77</xdr:row>
      <xdr:rowOff>228600</xdr:rowOff>
    </xdr:to>
    <xdr:pic>
      <xdr:nvPicPr>
        <xdr:cNvPr id="32803" name="Picture 35"/>
        <xdr:cNvPicPr>
          <a:picLocks noChangeAspect="1" noChangeArrowheads="1"/>
        </xdr:cNvPicPr>
      </xdr:nvPicPr>
      <xdr:blipFill>
        <a:blip r:embed="rId11" cstate="print"/>
        <a:srcRect/>
        <a:stretch>
          <a:fillRect/>
        </a:stretch>
      </xdr:blipFill>
      <xdr:spPr>
        <a:xfrm>
          <a:off x="5486400" y="17626965"/>
          <a:ext cx="7058025" cy="2270760"/>
        </a:xfrm>
        <a:prstGeom prst="rect">
          <a:avLst/>
        </a:prstGeom>
        <a:noFill/>
        <a:ln w="1">
          <a:noFill/>
          <a:miter lim="800000"/>
          <a:headEnd/>
          <a:tailEnd type="none" w="med" len="med"/>
        </a:ln>
        <a:effectLst/>
      </xdr:spPr>
    </xdr:pic>
    <xdr:clientData/>
  </xdr:twoCellAnchor>
  <xdr:twoCellAnchor editAs="oneCell">
    <xdr:from>
      <xdr:col>14</xdr:col>
      <xdr:colOff>66675</xdr:colOff>
      <xdr:row>69</xdr:row>
      <xdr:rowOff>0</xdr:rowOff>
    </xdr:from>
    <xdr:to>
      <xdr:col>15</xdr:col>
      <xdr:colOff>314325</xdr:colOff>
      <xdr:row>77</xdr:row>
      <xdr:rowOff>238125</xdr:rowOff>
    </xdr:to>
    <xdr:pic>
      <xdr:nvPicPr>
        <xdr:cNvPr id="32804" name="Picture 36"/>
        <xdr:cNvPicPr>
          <a:picLocks noChangeAspect="1" noChangeArrowheads="1"/>
        </xdr:cNvPicPr>
      </xdr:nvPicPr>
      <xdr:blipFill>
        <a:blip r:embed="rId12" cstate="print"/>
        <a:srcRect/>
        <a:stretch>
          <a:fillRect/>
        </a:stretch>
      </xdr:blipFill>
      <xdr:spPr>
        <a:xfrm>
          <a:off x="12487275" y="17626965"/>
          <a:ext cx="1447800" cy="2280285"/>
        </a:xfrm>
        <a:prstGeom prst="rect">
          <a:avLst/>
        </a:prstGeom>
        <a:noFill/>
        <a:ln w="1">
          <a:noFill/>
          <a:miter lim="800000"/>
          <a:headEnd/>
          <a:tailEnd type="none" w="med" len="med"/>
        </a:ln>
        <a:effectLst/>
      </xdr:spPr>
    </xdr:pic>
    <xdr:clientData/>
  </xdr:twoCellAnchor>
  <xdr:twoCellAnchor editAs="oneCell">
    <xdr:from>
      <xdr:col>15</xdr:col>
      <xdr:colOff>942975</xdr:colOff>
      <xdr:row>59</xdr:row>
      <xdr:rowOff>238125</xdr:rowOff>
    </xdr:from>
    <xdr:to>
      <xdr:col>16</xdr:col>
      <xdr:colOff>981075</xdr:colOff>
      <xdr:row>67</xdr:row>
      <xdr:rowOff>200025</xdr:rowOff>
    </xdr:to>
    <xdr:pic>
      <xdr:nvPicPr>
        <xdr:cNvPr id="32806" name="Picture 38"/>
        <xdr:cNvPicPr>
          <a:picLocks noChangeAspect="1" noChangeArrowheads="1"/>
        </xdr:cNvPicPr>
      </xdr:nvPicPr>
      <xdr:blipFill>
        <a:blip r:embed="rId13" cstate="print"/>
        <a:srcRect/>
        <a:stretch>
          <a:fillRect/>
        </a:stretch>
      </xdr:blipFill>
      <xdr:spPr>
        <a:xfrm>
          <a:off x="14563725" y="15312390"/>
          <a:ext cx="1304925" cy="2004060"/>
        </a:xfrm>
        <a:prstGeom prst="rect">
          <a:avLst/>
        </a:prstGeom>
        <a:noFill/>
        <a:ln w="1">
          <a:noFill/>
          <a:miter lim="800000"/>
          <a:headEnd/>
          <a:tailEnd type="none" w="med" len="med"/>
        </a:ln>
        <a:effectLst/>
      </xdr:spPr>
    </xdr:pic>
    <xdr:clientData/>
  </xdr:twoCellAnchor>
  <xdr:twoCellAnchor>
    <xdr:from>
      <xdr:col>3</xdr:col>
      <xdr:colOff>904875</xdr:colOff>
      <xdr:row>8</xdr:row>
      <xdr:rowOff>133351</xdr:rowOff>
    </xdr:from>
    <xdr:to>
      <xdr:col>4</xdr:col>
      <xdr:colOff>285750</xdr:colOff>
      <xdr:row>9</xdr:row>
      <xdr:rowOff>152404</xdr:rowOff>
    </xdr:to>
    <xdr:sp>
      <xdr:nvSpPr>
        <xdr:cNvPr id="24" name="圆柱形 23"/>
        <xdr:cNvSpPr/>
      </xdr:nvSpPr>
      <xdr:spPr>
        <a:xfrm rot="5400000">
          <a:off x="4834255" y="1964055"/>
          <a:ext cx="274955" cy="723900"/>
        </a:xfrm>
        <a:prstGeom prst="can">
          <a:avLst>
            <a:gd name="adj" fmla="val 48881"/>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rtlCol="0" anchor="ctr"/>
        <a:lstStyle/>
        <a:p>
          <a:pPr algn="ctr"/>
          <a:endParaRPr lang="zh-CN" altLang="en-US" sz="1100"/>
        </a:p>
      </xdr:txBody>
    </xdr:sp>
    <xdr:clientData/>
  </xdr:twoCellAnchor>
  <xdr:twoCellAnchor>
    <xdr:from>
      <xdr:col>3</xdr:col>
      <xdr:colOff>857251</xdr:colOff>
      <xdr:row>6</xdr:row>
      <xdr:rowOff>133350</xdr:rowOff>
    </xdr:from>
    <xdr:to>
      <xdr:col>4</xdr:col>
      <xdr:colOff>19050</xdr:colOff>
      <xdr:row>6</xdr:row>
      <xdr:rowOff>133350</xdr:rowOff>
    </xdr:to>
    <xdr:cxnSp>
      <xdr:nvCxnSpPr>
        <xdr:cNvPr id="30" name="直接箭头连接符 29"/>
        <xdr:cNvCxnSpPr/>
      </xdr:nvCxnSpPr>
      <xdr:spPr>
        <a:xfrm flipH="1">
          <a:off x="4562475" y="1678305"/>
          <a:ext cx="504825" cy="0"/>
        </a:xfrm>
        <a:prstGeom prst="straightConnector1">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862012</xdr:colOff>
      <xdr:row>4</xdr:row>
      <xdr:rowOff>219075</xdr:rowOff>
    </xdr:from>
    <xdr:to>
      <xdr:col>3</xdr:col>
      <xdr:colOff>862012</xdr:colOff>
      <xdr:row>6</xdr:row>
      <xdr:rowOff>109537</xdr:rowOff>
    </xdr:to>
    <xdr:cxnSp>
      <xdr:nvCxnSpPr>
        <xdr:cNvPr id="32" name="直接箭头连接符 31"/>
        <xdr:cNvCxnSpPr/>
      </xdr:nvCxnSpPr>
      <xdr:spPr>
        <a:xfrm>
          <a:off x="4566920" y="1253490"/>
          <a:ext cx="0" cy="400685"/>
        </a:xfrm>
        <a:prstGeom prst="straightConnector1">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790575</xdr:colOff>
      <xdr:row>4</xdr:row>
      <xdr:rowOff>161925</xdr:rowOff>
    </xdr:from>
    <xdr:ext cx="419089" cy="311496"/>
    <xdr:sp>
      <xdr:nvSpPr>
        <xdr:cNvPr id="38" name="TextBox 37"/>
        <xdr:cNvSpPr txBox="1"/>
      </xdr:nvSpPr>
      <xdr:spPr>
        <a:xfrm>
          <a:off x="4495800" y="1196340"/>
          <a:ext cx="418465" cy="3111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400"/>
            <a:t>Fre</a:t>
          </a:r>
          <a:endParaRPr lang="zh-CN" altLang="en-US" sz="1400"/>
        </a:p>
      </xdr:txBody>
    </xdr:sp>
    <xdr:clientData/>
  </xdr:oneCellAnchor>
  <xdr:oneCellAnchor>
    <xdr:from>
      <xdr:col>3</xdr:col>
      <xdr:colOff>1066800</xdr:colOff>
      <xdr:row>5</xdr:row>
      <xdr:rowOff>114300</xdr:rowOff>
    </xdr:from>
    <xdr:ext cx="442493" cy="311496"/>
    <xdr:sp>
      <xdr:nvSpPr>
        <xdr:cNvPr id="39" name="TextBox 38"/>
        <xdr:cNvSpPr txBox="1"/>
      </xdr:nvSpPr>
      <xdr:spPr>
        <a:xfrm>
          <a:off x="4772025" y="1403985"/>
          <a:ext cx="441960" cy="3111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400"/>
            <a:t>Fae</a:t>
          </a:r>
          <a:endParaRPr lang="zh-CN" altLang="en-US" sz="1400"/>
        </a:p>
      </xdr:txBody>
    </xdr:sp>
    <xdr:clientData/>
  </xdr:oneCellAnchor>
  <xdr:oneCellAnchor>
    <xdr:from>
      <xdr:col>3</xdr:col>
      <xdr:colOff>371475</xdr:colOff>
      <xdr:row>6</xdr:row>
      <xdr:rowOff>219075</xdr:rowOff>
    </xdr:from>
    <xdr:ext cx="416653" cy="311496"/>
    <xdr:sp>
      <xdr:nvSpPr>
        <xdr:cNvPr id="40" name="TextBox 39"/>
        <xdr:cNvSpPr txBox="1"/>
      </xdr:nvSpPr>
      <xdr:spPr>
        <a:xfrm>
          <a:off x="4076700" y="1764030"/>
          <a:ext cx="416560" cy="3111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400"/>
            <a:t>Fte</a:t>
          </a:r>
          <a:endParaRPr lang="zh-CN" altLang="en-US" sz="1400"/>
        </a:p>
      </xdr:txBody>
    </xdr:sp>
    <xdr:clientData/>
  </xdr:oneCellAnchor>
  <xdr:twoCellAnchor>
    <xdr:from>
      <xdr:col>3</xdr:col>
      <xdr:colOff>1314450</xdr:colOff>
      <xdr:row>7</xdr:row>
      <xdr:rowOff>219075</xdr:rowOff>
    </xdr:from>
    <xdr:to>
      <xdr:col>4</xdr:col>
      <xdr:colOff>114300</xdr:colOff>
      <xdr:row>8</xdr:row>
      <xdr:rowOff>114300</xdr:rowOff>
    </xdr:to>
    <xdr:sp>
      <xdr:nvSpPr>
        <xdr:cNvPr id="45" name="椭圆 44"/>
        <xdr:cNvSpPr/>
      </xdr:nvSpPr>
      <xdr:spPr>
        <a:xfrm>
          <a:off x="5019675" y="2019300"/>
          <a:ext cx="142875" cy="15049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rtlCol="0" anchor="ctr"/>
        <a:lstStyle/>
        <a:p>
          <a:pPr algn="ctr"/>
          <a:endParaRPr lang="zh-CN" altLang="en-US" sz="1100"/>
        </a:p>
      </xdr:txBody>
    </xdr:sp>
    <xdr:clientData/>
  </xdr:twoCellAnchor>
  <xdr:twoCellAnchor>
    <xdr:from>
      <xdr:col>3</xdr:col>
      <xdr:colOff>1314450</xdr:colOff>
      <xdr:row>9</xdr:row>
      <xdr:rowOff>152400</xdr:rowOff>
    </xdr:from>
    <xdr:to>
      <xdr:col>4</xdr:col>
      <xdr:colOff>114300</xdr:colOff>
      <xdr:row>10</xdr:row>
      <xdr:rowOff>47625</xdr:rowOff>
    </xdr:to>
    <xdr:sp>
      <xdr:nvSpPr>
        <xdr:cNvPr id="47" name="椭圆 46"/>
        <xdr:cNvSpPr/>
      </xdr:nvSpPr>
      <xdr:spPr>
        <a:xfrm>
          <a:off x="5019675" y="2463165"/>
          <a:ext cx="142875" cy="15049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rtlCol="0" anchor="ctr"/>
        <a:lstStyle/>
        <a:p>
          <a:pPr algn="ctr"/>
          <a:endParaRPr lang="zh-CN" altLang="en-US" sz="1100"/>
        </a:p>
      </xdr:txBody>
    </xdr:sp>
    <xdr:clientData/>
  </xdr:twoCellAnchor>
  <xdr:twoCellAnchor>
    <xdr:from>
      <xdr:col>2</xdr:col>
      <xdr:colOff>1133475</xdr:colOff>
      <xdr:row>7</xdr:row>
      <xdr:rowOff>180974</xdr:rowOff>
    </xdr:from>
    <xdr:to>
      <xdr:col>3</xdr:col>
      <xdr:colOff>171450</xdr:colOff>
      <xdr:row>10</xdr:row>
      <xdr:rowOff>95249</xdr:rowOff>
    </xdr:to>
    <xdr:sp>
      <xdr:nvSpPr>
        <xdr:cNvPr id="48" name="图文框 47"/>
        <xdr:cNvSpPr/>
      </xdr:nvSpPr>
      <xdr:spPr>
        <a:xfrm>
          <a:off x="3648075" y="1980565"/>
          <a:ext cx="228600" cy="680085"/>
        </a:xfrm>
        <a:prstGeom prst="frame">
          <a:avLst/>
        </a:prstGeom>
        <a:ln>
          <a:solidFill>
            <a:srgbClr val="00B0F0"/>
          </a:solidFill>
        </a:ln>
      </xdr:spPr>
      <xdr:style>
        <a:lnRef idx="2">
          <a:schemeClr val="accent3"/>
        </a:lnRef>
        <a:fillRef idx="1">
          <a:schemeClr val="lt1"/>
        </a:fillRef>
        <a:effectRef idx="0">
          <a:schemeClr val="accent3"/>
        </a:effectRef>
        <a:fontRef idx="minor">
          <a:schemeClr val="dk1"/>
        </a:fontRef>
      </xdr:style>
      <xdr:txBody>
        <a:bodyPr vertOverflow="clip" rtlCol="0" anchor="ctr"/>
        <a:lstStyle/>
        <a:p>
          <a:pPr algn="ctr"/>
          <a:endParaRPr lang="zh-CN" altLang="en-US" sz="1100">
            <a:solidFill>
              <a:schemeClr val="tx1"/>
            </a:solidFill>
          </a:endParaRPr>
        </a:p>
      </xdr:txBody>
    </xdr:sp>
    <xdr:clientData/>
  </xdr:twoCellAnchor>
  <xdr:twoCellAnchor>
    <xdr:from>
      <xdr:col>2</xdr:col>
      <xdr:colOff>1171575</xdr:colOff>
      <xdr:row>7</xdr:row>
      <xdr:rowOff>219075</xdr:rowOff>
    </xdr:from>
    <xdr:to>
      <xdr:col>3</xdr:col>
      <xdr:colOff>123825</xdr:colOff>
      <xdr:row>8</xdr:row>
      <xdr:rowOff>114300</xdr:rowOff>
    </xdr:to>
    <xdr:sp>
      <xdr:nvSpPr>
        <xdr:cNvPr id="49" name="椭圆 48"/>
        <xdr:cNvSpPr/>
      </xdr:nvSpPr>
      <xdr:spPr>
        <a:xfrm>
          <a:off x="3686175" y="2019300"/>
          <a:ext cx="142875" cy="15049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rtlCol="0" anchor="ctr"/>
        <a:lstStyle/>
        <a:p>
          <a:pPr algn="ctr"/>
          <a:endParaRPr lang="zh-CN" altLang="en-US" sz="1100"/>
        </a:p>
      </xdr:txBody>
    </xdr:sp>
    <xdr:clientData/>
  </xdr:twoCellAnchor>
  <xdr:twoCellAnchor>
    <xdr:from>
      <xdr:col>2</xdr:col>
      <xdr:colOff>1171575</xdr:colOff>
      <xdr:row>9</xdr:row>
      <xdr:rowOff>152400</xdr:rowOff>
    </xdr:from>
    <xdr:to>
      <xdr:col>3</xdr:col>
      <xdr:colOff>123825</xdr:colOff>
      <xdr:row>10</xdr:row>
      <xdr:rowOff>47625</xdr:rowOff>
    </xdr:to>
    <xdr:sp>
      <xdr:nvSpPr>
        <xdr:cNvPr id="50" name="椭圆 49"/>
        <xdr:cNvSpPr/>
      </xdr:nvSpPr>
      <xdr:spPr>
        <a:xfrm>
          <a:off x="3686175" y="2463165"/>
          <a:ext cx="142875" cy="150495"/>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rtlCol="0" anchor="ctr"/>
        <a:lstStyle/>
        <a:p>
          <a:pPr algn="ctr"/>
          <a:endParaRPr lang="zh-CN" altLang="en-US" sz="1100"/>
        </a:p>
      </xdr:txBody>
    </xdr:sp>
    <xdr:clientData/>
  </xdr:twoCellAnchor>
  <xdr:twoCellAnchor>
    <xdr:from>
      <xdr:col>3</xdr:col>
      <xdr:colOff>1266825</xdr:colOff>
      <xdr:row>7</xdr:row>
      <xdr:rowOff>180974</xdr:rowOff>
    </xdr:from>
    <xdr:to>
      <xdr:col>4</xdr:col>
      <xdr:colOff>152400</xdr:colOff>
      <xdr:row>10</xdr:row>
      <xdr:rowOff>95249</xdr:rowOff>
    </xdr:to>
    <xdr:sp>
      <xdr:nvSpPr>
        <xdr:cNvPr id="44" name="图文框 43"/>
        <xdr:cNvSpPr/>
      </xdr:nvSpPr>
      <xdr:spPr>
        <a:xfrm>
          <a:off x="4972050" y="1980565"/>
          <a:ext cx="228600" cy="680085"/>
        </a:xfrm>
        <a:prstGeom prst="frame">
          <a:avLst/>
        </a:prstGeom>
        <a:ln>
          <a:solidFill>
            <a:srgbClr val="00B0F0"/>
          </a:solidFill>
        </a:ln>
      </xdr:spPr>
      <xdr:style>
        <a:lnRef idx="2">
          <a:schemeClr val="accent3"/>
        </a:lnRef>
        <a:fillRef idx="1">
          <a:schemeClr val="lt1"/>
        </a:fillRef>
        <a:effectRef idx="0">
          <a:schemeClr val="accent3"/>
        </a:effectRef>
        <a:fontRef idx="minor">
          <a:schemeClr val="dk1"/>
        </a:fontRef>
      </xdr:style>
      <xdr:txBody>
        <a:bodyPr vertOverflow="clip" rtlCol="0" anchor="ctr"/>
        <a:lstStyle/>
        <a:p>
          <a:pPr algn="ctr"/>
          <a:endParaRPr lang="zh-CN" altLang="en-US" sz="1100">
            <a:solidFill>
              <a:schemeClr val="tx1"/>
            </a:solidFill>
          </a:endParaRPr>
        </a:p>
      </xdr:txBody>
    </xdr:sp>
    <xdr:clientData/>
  </xdr:twoCellAnchor>
  <xdr:twoCellAnchor>
    <xdr:from>
      <xdr:col>3</xdr:col>
      <xdr:colOff>38100</xdr:colOff>
      <xdr:row>9</xdr:row>
      <xdr:rowOff>47625</xdr:rowOff>
    </xdr:from>
    <xdr:to>
      <xdr:col>3</xdr:col>
      <xdr:colOff>38100</xdr:colOff>
      <xdr:row>11</xdr:row>
      <xdr:rowOff>238125</xdr:rowOff>
    </xdr:to>
    <xdr:cxnSp>
      <xdr:nvCxnSpPr>
        <xdr:cNvPr id="34" name="直接连接符 33"/>
        <xdr:cNvCxnSpPr/>
      </xdr:nvCxnSpPr>
      <xdr:spPr>
        <a:xfrm>
          <a:off x="3743325" y="2358390"/>
          <a:ext cx="0" cy="7010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800100</xdr:colOff>
      <xdr:row>9</xdr:row>
      <xdr:rowOff>57150</xdr:rowOff>
    </xdr:from>
    <xdr:to>
      <xdr:col>3</xdr:col>
      <xdr:colOff>800100</xdr:colOff>
      <xdr:row>12</xdr:row>
      <xdr:rowOff>0</xdr:rowOff>
    </xdr:to>
    <xdr:cxnSp>
      <xdr:nvCxnSpPr>
        <xdr:cNvPr id="35" name="直接连接符 34"/>
        <xdr:cNvCxnSpPr/>
      </xdr:nvCxnSpPr>
      <xdr:spPr>
        <a:xfrm>
          <a:off x="4505325" y="2367915"/>
          <a:ext cx="0" cy="70866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38100</xdr:colOff>
      <xdr:row>9</xdr:row>
      <xdr:rowOff>47625</xdr:rowOff>
    </xdr:from>
    <xdr:to>
      <xdr:col>4</xdr:col>
      <xdr:colOff>38100</xdr:colOff>
      <xdr:row>11</xdr:row>
      <xdr:rowOff>238125</xdr:rowOff>
    </xdr:to>
    <xdr:cxnSp>
      <xdr:nvCxnSpPr>
        <xdr:cNvPr id="36" name="直接连接符 35"/>
        <xdr:cNvCxnSpPr/>
      </xdr:nvCxnSpPr>
      <xdr:spPr>
        <a:xfrm>
          <a:off x="5086350" y="2358390"/>
          <a:ext cx="0" cy="7010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28575</xdr:colOff>
      <xdr:row>11</xdr:row>
      <xdr:rowOff>190500</xdr:rowOff>
    </xdr:from>
    <xdr:to>
      <xdr:col>3</xdr:col>
      <xdr:colOff>809625</xdr:colOff>
      <xdr:row>11</xdr:row>
      <xdr:rowOff>190500</xdr:rowOff>
    </xdr:to>
    <xdr:cxnSp>
      <xdr:nvCxnSpPr>
        <xdr:cNvPr id="41" name="直接箭头连接符 40"/>
        <xdr:cNvCxnSpPr/>
      </xdr:nvCxnSpPr>
      <xdr:spPr>
        <a:xfrm>
          <a:off x="3733800" y="3011805"/>
          <a:ext cx="781050" cy="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790575</xdr:colOff>
      <xdr:row>11</xdr:row>
      <xdr:rowOff>200025</xdr:rowOff>
    </xdr:from>
    <xdr:to>
      <xdr:col>4</xdr:col>
      <xdr:colOff>47625</xdr:colOff>
      <xdr:row>11</xdr:row>
      <xdr:rowOff>200025</xdr:rowOff>
    </xdr:to>
    <xdr:cxnSp>
      <xdr:nvCxnSpPr>
        <xdr:cNvPr id="42" name="直接箭头连接符 41"/>
        <xdr:cNvCxnSpPr/>
      </xdr:nvCxnSpPr>
      <xdr:spPr>
        <a:xfrm>
          <a:off x="4495800" y="3021330"/>
          <a:ext cx="600075" cy="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323850</xdr:colOff>
      <xdr:row>11</xdr:row>
      <xdr:rowOff>114300</xdr:rowOff>
    </xdr:from>
    <xdr:ext cx="295209" cy="374141"/>
    <xdr:sp>
      <xdr:nvSpPr>
        <xdr:cNvPr id="51" name="TextBox 50"/>
        <xdr:cNvSpPr txBox="1"/>
      </xdr:nvSpPr>
      <xdr:spPr>
        <a:xfrm>
          <a:off x="4029075" y="2935605"/>
          <a:ext cx="294640" cy="374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800"/>
            <a:t>a</a:t>
          </a:r>
          <a:endParaRPr lang="zh-CN" altLang="en-US" sz="1800"/>
        </a:p>
      </xdr:txBody>
    </xdr:sp>
    <xdr:clientData/>
  </xdr:oneCellAnchor>
  <xdr:oneCellAnchor>
    <xdr:from>
      <xdr:col>3</xdr:col>
      <xdr:colOff>971550</xdr:colOff>
      <xdr:row>11</xdr:row>
      <xdr:rowOff>133350</xdr:rowOff>
    </xdr:from>
    <xdr:ext cx="305918" cy="374141"/>
    <xdr:sp>
      <xdr:nvSpPr>
        <xdr:cNvPr id="52" name="TextBox 51"/>
        <xdr:cNvSpPr txBox="1"/>
      </xdr:nvSpPr>
      <xdr:spPr>
        <a:xfrm>
          <a:off x="4676775" y="2954655"/>
          <a:ext cx="305435" cy="374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800"/>
            <a:t>b</a:t>
          </a:r>
          <a:endParaRPr lang="zh-CN" altLang="en-US" sz="1800"/>
        </a:p>
      </xdr:txBody>
    </xdr:sp>
    <xdr:clientData/>
  </xdr:oneCellAnchor>
  <xdr:twoCellAnchor>
    <xdr:from>
      <xdr:col>3</xdr:col>
      <xdr:colOff>1038225</xdr:colOff>
      <xdr:row>6</xdr:row>
      <xdr:rowOff>142875</xdr:rowOff>
    </xdr:from>
    <xdr:to>
      <xdr:col>3</xdr:col>
      <xdr:colOff>1038225</xdr:colOff>
      <xdr:row>11</xdr:row>
      <xdr:rowOff>209550</xdr:rowOff>
    </xdr:to>
    <xdr:cxnSp>
      <xdr:nvCxnSpPr>
        <xdr:cNvPr id="58" name="直接箭头连接符 57"/>
        <xdr:cNvCxnSpPr/>
      </xdr:nvCxnSpPr>
      <xdr:spPr>
        <a:xfrm>
          <a:off x="4743450" y="1687830"/>
          <a:ext cx="0" cy="1343025"/>
        </a:xfrm>
        <a:prstGeom prst="straightConnector1">
          <a:avLst/>
        </a:prstGeom>
        <a:ln>
          <a:solidFill>
            <a:sysClr val="windowText" lastClr="000000"/>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800100</xdr:colOff>
      <xdr:row>8</xdr:row>
      <xdr:rowOff>104775</xdr:rowOff>
    </xdr:from>
    <xdr:ext cx="305918" cy="374141"/>
    <xdr:sp>
      <xdr:nvSpPr>
        <xdr:cNvPr id="59" name="TextBox 58"/>
        <xdr:cNvSpPr txBox="1"/>
      </xdr:nvSpPr>
      <xdr:spPr>
        <a:xfrm>
          <a:off x="4505325" y="2160270"/>
          <a:ext cx="305435" cy="374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800"/>
            <a:t>d</a:t>
          </a:r>
          <a:endParaRPr lang="zh-CN" altLang="en-US" sz="1800"/>
        </a:p>
      </xdr:txBody>
    </xdr:sp>
    <xdr:clientData/>
  </xdr:oneCellAnchor>
  <xdr:twoCellAnchor>
    <xdr:from>
      <xdr:col>3</xdr:col>
      <xdr:colOff>733425</xdr:colOff>
      <xdr:row>6</xdr:row>
      <xdr:rowOff>152405</xdr:rowOff>
    </xdr:from>
    <xdr:to>
      <xdr:col>3</xdr:col>
      <xdr:colOff>838200</xdr:colOff>
      <xdr:row>7</xdr:row>
      <xdr:rowOff>152400</xdr:rowOff>
    </xdr:to>
    <xdr:cxnSp>
      <xdr:nvCxnSpPr>
        <xdr:cNvPr id="33" name="直接箭头连接符 32"/>
        <xdr:cNvCxnSpPr/>
      </xdr:nvCxnSpPr>
      <xdr:spPr>
        <a:xfrm flipV="1">
          <a:off x="4438650" y="1697355"/>
          <a:ext cx="104775" cy="255270"/>
        </a:xfrm>
        <a:prstGeom prst="straightConnector1">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57146</xdr:colOff>
      <xdr:row>51</xdr:row>
      <xdr:rowOff>247648</xdr:rowOff>
    </xdr:from>
    <xdr:to>
      <xdr:col>4</xdr:col>
      <xdr:colOff>352423</xdr:colOff>
      <xdr:row>65</xdr:row>
      <xdr:rowOff>171450</xdr:rowOff>
    </xdr:to>
    <xdr:sp>
      <xdr:nvSpPr>
        <xdr:cNvPr id="67" name="手杖形箭头 66"/>
        <xdr:cNvSpPr/>
      </xdr:nvSpPr>
      <xdr:spPr>
        <a:xfrm rot="-5400000" flipV="1">
          <a:off x="3503930" y="14880590"/>
          <a:ext cx="3497580" cy="295275"/>
        </a:xfrm>
        <a:prstGeom prst="uturnArrow">
          <a:avLst>
            <a:gd name="adj1" fmla="val 25000"/>
            <a:gd name="adj2" fmla="val 23387"/>
            <a:gd name="adj3" fmla="val 31452"/>
            <a:gd name="adj4" fmla="val 43750"/>
            <a:gd name="adj5" fmla="val 100000"/>
          </a:avLst>
        </a:prstGeom>
      </xdr:spPr>
      <xdr:style>
        <a:lnRef idx="1">
          <a:schemeClr val="accent3"/>
        </a:lnRef>
        <a:fillRef idx="3">
          <a:schemeClr val="accent3"/>
        </a:fillRef>
        <a:effectRef idx="2">
          <a:schemeClr val="accent3"/>
        </a:effectRef>
        <a:fontRef idx="minor">
          <a:schemeClr val="lt1"/>
        </a:fontRef>
      </xdr:style>
      <xdr:txBody>
        <a:bodyPr vertOverflow="clip" rtlCol="0" anchor="ctr"/>
        <a:lstStyle/>
        <a:p>
          <a:pPr algn="ctr"/>
          <a:endParaRPr lang="zh-CN" altLang="en-US" sz="1100">
            <a:solidFill>
              <a:schemeClr val="tx1"/>
            </a:solidFill>
          </a:endParaRPr>
        </a:p>
      </xdr:txBody>
    </xdr:sp>
    <xdr:clientData/>
  </xdr:twoCellAnchor>
  <xdr:oneCellAnchor>
    <xdr:from>
      <xdr:col>3</xdr:col>
      <xdr:colOff>1249986</xdr:colOff>
      <xdr:row>53</xdr:row>
      <xdr:rowOff>47625</xdr:rowOff>
    </xdr:from>
    <xdr:ext cx="476862" cy="2825453"/>
    <xdr:sp>
      <xdr:nvSpPr>
        <xdr:cNvPr id="68" name="TextBox 67"/>
        <xdr:cNvSpPr txBox="1"/>
      </xdr:nvSpPr>
      <xdr:spPr>
        <a:xfrm>
          <a:off x="4954905" y="13590270"/>
          <a:ext cx="476885" cy="28251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vert="wordArtVertRtl" wrap="none" rtlCol="0" anchor="t">
          <a:spAutoFit/>
        </a:bodyPr>
        <a:lstStyle/>
        <a:p>
          <a:r>
            <a:rPr lang="zh-CN" altLang="en-US" sz="1600" b="1" i="0">
              <a:solidFill>
                <a:srgbClr val="FFC000"/>
              </a:solidFill>
            </a:rPr>
            <a:t>若不合格则重新选择型号</a:t>
          </a:r>
          <a:endParaRPr lang="zh-CN" altLang="en-US" sz="1600" b="1" i="0">
            <a:solidFill>
              <a:srgbClr val="FFC000"/>
            </a:solidFill>
          </a:endParaRPr>
        </a:p>
      </xdr:txBody>
    </xdr:sp>
    <xdr:clientData/>
  </xdr:oneCellAnchor>
  <xdr:twoCellAnchor>
    <xdr:from>
      <xdr:col>4</xdr:col>
      <xdr:colOff>57146</xdr:colOff>
      <xdr:row>78</xdr:row>
      <xdr:rowOff>76197</xdr:rowOff>
    </xdr:from>
    <xdr:to>
      <xdr:col>4</xdr:col>
      <xdr:colOff>352423</xdr:colOff>
      <xdr:row>93</xdr:row>
      <xdr:rowOff>142874</xdr:rowOff>
    </xdr:to>
    <xdr:sp>
      <xdr:nvSpPr>
        <xdr:cNvPr id="69" name="手杖形箭头 68"/>
        <xdr:cNvSpPr/>
      </xdr:nvSpPr>
      <xdr:spPr>
        <a:xfrm rot="-5400000" flipV="1">
          <a:off x="3304540" y="21800185"/>
          <a:ext cx="3895725" cy="295275"/>
        </a:xfrm>
        <a:prstGeom prst="uturnArrow">
          <a:avLst>
            <a:gd name="adj1" fmla="val 25000"/>
            <a:gd name="adj2" fmla="val 23387"/>
            <a:gd name="adj3" fmla="val 31452"/>
            <a:gd name="adj4" fmla="val 43750"/>
            <a:gd name="adj5" fmla="val 100000"/>
          </a:avLst>
        </a:prstGeom>
      </xdr:spPr>
      <xdr:style>
        <a:lnRef idx="1">
          <a:schemeClr val="accent3"/>
        </a:lnRef>
        <a:fillRef idx="3">
          <a:schemeClr val="accent3"/>
        </a:fillRef>
        <a:effectRef idx="2">
          <a:schemeClr val="accent3"/>
        </a:effectRef>
        <a:fontRef idx="minor">
          <a:schemeClr val="lt1"/>
        </a:fontRef>
      </xdr:style>
      <xdr:txBody>
        <a:bodyPr vertOverflow="clip" rtlCol="0" anchor="ctr"/>
        <a:lstStyle/>
        <a:p>
          <a:pPr algn="ctr"/>
          <a:endParaRPr lang="zh-CN" altLang="en-US" sz="1100">
            <a:solidFill>
              <a:schemeClr val="tx1"/>
            </a:solidFill>
          </a:endParaRPr>
        </a:p>
      </xdr:txBody>
    </xdr:sp>
    <xdr:clientData/>
  </xdr:twoCellAnchor>
  <xdr:oneCellAnchor>
    <xdr:from>
      <xdr:col>3</xdr:col>
      <xdr:colOff>1249986</xdr:colOff>
      <xdr:row>80</xdr:row>
      <xdr:rowOff>0</xdr:rowOff>
    </xdr:from>
    <xdr:ext cx="476862" cy="3150856"/>
    <xdr:sp>
      <xdr:nvSpPr>
        <xdr:cNvPr id="70" name="TextBox 69"/>
        <xdr:cNvSpPr txBox="1"/>
      </xdr:nvSpPr>
      <xdr:spPr>
        <a:xfrm>
          <a:off x="4954905" y="20434935"/>
          <a:ext cx="476885" cy="315023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vert="wordArtVertRtl" wrap="square" rtlCol="0" anchor="t">
          <a:noAutofit/>
        </a:bodyPr>
        <a:lstStyle/>
        <a:p>
          <a:r>
            <a:rPr lang="zh-CN" altLang="en-US" sz="1600" b="1" i="0">
              <a:solidFill>
                <a:srgbClr val="FFC000"/>
              </a:solidFill>
            </a:rPr>
            <a:t>若不合格则重新选择型号</a:t>
          </a:r>
          <a:endParaRPr lang="zh-CN" altLang="en-US" sz="1600" b="1" i="0">
            <a:solidFill>
              <a:srgbClr val="FFC000"/>
            </a:solidFill>
          </a:endParaRPr>
        </a:p>
      </xdr:txBody>
    </xdr:sp>
    <xdr:clientData/>
  </xdr:oneCellAnchor>
  <xdr:twoCellAnchor>
    <xdr:from>
      <xdr:col>4</xdr:col>
      <xdr:colOff>57146</xdr:colOff>
      <xdr:row>22</xdr:row>
      <xdr:rowOff>19048</xdr:rowOff>
    </xdr:from>
    <xdr:to>
      <xdr:col>4</xdr:col>
      <xdr:colOff>352423</xdr:colOff>
      <xdr:row>31</xdr:row>
      <xdr:rowOff>57150</xdr:rowOff>
    </xdr:to>
    <xdr:sp>
      <xdr:nvSpPr>
        <xdr:cNvPr id="71" name="手杖形箭头 70"/>
        <xdr:cNvSpPr/>
      </xdr:nvSpPr>
      <xdr:spPr>
        <a:xfrm rot="-5400000" flipV="1">
          <a:off x="4084955" y="6668135"/>
          <a:ext cx="2335530" cy="295275"/>
        </a:xfrm>
        <a:prstGeom prst="uturnArrow">
          <a:avLst>
            <a:gd name="adj1" fmla="val 25000"/>
            <a:gd name="adj2" fmla="val 23387"/>
            <a:gd name="adj3" fmla="val 31452"/>
            <a:gd name="adj4" fmla="val 43750"/>
            <a:gd name="adj5" fmla="val 100000"/>
          </a:avLst>
        </a:prstGeom>
      </xdr:spPr>
      <xdr:style>
        <a:lnRef idx="1">
          <a:schemeClr val="accent3"/>
        </a:lnRef>
        <a:fillRef idx="3">
          <a:schemeClr val="accent3"/>
        </a:fillRef>
        <a:effectRef idx="2">
          <a:schemeClr val="accent3"/>
        </a:effectRef>
        <a:fontRef idx="minor">
          <a:schemeClr val="lt1"/>
        </a:fontRef>
      </xdr:style>
      <xdr:txBody>
        <a:bodyPr vertOverflow="clip" rtlCol="0" anchor="ctr"/>
        <a:lstStyle/>
        <a:p>
          <a:pPr algn="ctr"/>
          <a:endParaRPr lang="zh-CN" altLang="en-US" sz="1100">
            <a:solidFill>
              <a:schemeClr val="tx1"/>
            </a:solidFill>
          </a:endParaRPr>
        </a:p>
      </xdr:txBody>
    </xdr:sp>
    <xdr:clientData/>
  </xdr:twoCellAnchor>
  <xdr:oneCellAnchor>
    <xdr:from>
      <xdr:col>3</xdr:col>
      <xdr:colOff>1202361</xdr:colOff>
      <xdr:row>22</xdr:row>
      <xdr:rowOff>133351</xdr:rowOff>
    </xdr:from>
    <xdr:ext cx="476862" cy="2184202"/>
    <xdr:sp>
      <xdr:nvSpPr>
        <xdr:cNvPr id="72" name="TextBox 71"/>
        <xdr:cNvSpPr txBox="1"/>
      </xdr:nvSpPr>
      <xdr:spPr>
        <a:xfrm>
          <a:off x="4907280" y="5762625"/>
          <a:ext cx="476885" cy="21837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vert="wordArtVertRtl" wrap="square" rtlCol="0" anchor="t">
          <a:noAutofit/>
        </a:bodyPr>
        <a:lstStyle/>
        <a:p>
          <a:r>
            <a:rPr lang="zh-CN" altLang="en-US" sz="1400" b="1" i="0">
              <a:solidFill>
                <a:srgbClr val="FFC000"/>
              </a:solidFill>
            </a:rPr>
            <a:t>将此值填入再次计算</a:t>
          </a:r>
          <a:endParaRPr lang="zh-CN" altLang="en-US" sz="1400" b="1" i="0">
            <a:solidFill>
              <a:srgbClr val="FFC000"/>
            </a:solidFill>
          </a:endParaRPr>
        </a:p>
      </xdr:txBody>
    </xdr:sp>
    <xdr:clientData/>
  </xdr:oneCellAnchor>
  <xdr:twoCellAnchor editAs="oneCell">
    <xdr:from>
      <xdr:col>3</xdr:col>
      <xdr:colOff>9525</xdr:colOff>
      <xdr:row>14</xdr:row>
      <xdr:rowOff>9525</xdr:rowOff>
    </xdr:from>
    <xdr:to>
      <xdr:col>4</xdr:col>
      <xdr:colOff>405547</xdr:colOff>
      <xdr:row>17</xdr:row>
      <xdr:rowOff>228601</xdr:rowOff>
    </xdr:to>
    <xdr:pic>
      <xdr:nvPicPr>
        <xdr:cNvPr id="2" name="Picture 35"/>
        <xdr:cNvPicPr>
          <a:picLocks noChangeAspect="1" noChangeArrowheads="1"/>
        </xdr:cNvPicPr>
      </xdr:nvPicPr>
      <xdr:blipFill>
        <a:blip r:embed="rId14" cstate="print"/>
        <a:srcRect/>
        <a:stretch>
          <a:fillRect/>
        </a:stretch>
      </xdr:blipFill>
      <xdr:spPr>
        <a:xfrm>
          <a:off x="3714750" y="3596640"/>
          <a:ext cx="1738630" cy="984885"/>
        </a:xfrm>
        <a:prstGeom prst="rect">
          <a:avLst/>
        </a:prstGeom>
        <a:noFill/>
        <a:ln w="1">
          <a:noFill/>
          <a:miter lim="800000"/>
          <a:headEnd/>
          <a:tailEnd type="none" w="med" len="med"/>
        </a:ln>
        <a:effectLst/>
      </xdr:spPr>
    </xdr:pic>
    <xdr:clientData/>
  </xdr:twoCellAnchor>
  <xdr:twoCellAnchor>
    <xdr:from>
      <xdr:col>3</xdr:col>
      <xdr:colOff>876301</xdr:colOff>
      <xdr:row>14</xdr:row>
      <xdr:rowOff>38100</xdr:rowOff>
    </xdr:from>
    <xdr:to>
      <xdr:col>4</xdr:col>
      <xdr:colOff>38100</xdr:colOff>
      <xdr:row>14</xdr:row>
      <xdr:rowOff>38100</xdr:rowOff>
    </xdr:to>
    <xdr:cxnSp>
      <xdr:nvCxnSpPr>
        <xdr:cNvPr id="46" name="直接箭头连接符 45"/>
        <xdr:cNvCxnSpPr/>
      </xdr:nvCxnSpPr>
      <xdr:spPr>
        <a:xfrm flipH="1">
          <a:off x="4581525" y="3625215"/>
          <a:ext cx="504825" cy="0"/>
        </a:xfrm>
        <a:prstGeom prst="straightConnector1">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190500</xdr:colOff>
      <xdr:row>15</xdr:row>
      <xdr:rowOff>95250</xdr:rowOff>
    </xdr:from>
    <xdr:ext cx="1323975" cy="286066"/>
    <xdr:sp>
      <xdr:nvSpPr>
        <xdr:cNvPr id="53" name="TextBox 52"/>
        <xdr:cNvSpPr txBox="1"/>
      </xdr:nvSpPr>
      <xdr:spPr>
        <a:xfrm>
          <a:off x="3895725" y="3937635"/>
          <a:ext cx="1323975" cy="285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prstTxWarp prst="textStop">
            <a:avLst/>
          </a:prstTxWarp>
          <a:spAutoFit/>
        </a:bodyPr>
        <a:lstStyle/>
        <a:p>
          <a:r>
            <a:rPr lang="zh-CN" altLang="en-US" sz="1400" b="0">
              <a:solidFill>
                <a:srgbClr val="FF0000"/>
              </a:solidFill>
              <a:latin typeface="微软雅黑" panose="020B0503020204020204" pitchFamily="34" charset="-122"/>
              <a:ea typeface="微软雅黑" panose="020B0503020204020204" pitchFamily="34" charset="-122"/>
            </a:rPr>
            <a:t>左侧</a:t>
          </a:r>
          <a:r>
            <a:rPr lang="zh-CN" altLang="en-US" sz="1400">
              <a:solidFill>
                <a:srgbClr val="FF0000"/>
              </a:solidFill>
              <a:latin typeface="微软雅黑" panose="020B0503020204020204" pitchFamily="34" charset="-122"/>
              <a:ea typeface="微软雅黑" panose="020B0503020204020204" pitchFamily="34" charset="-122"/>
            </a:rPr>
            <a:t>轴承被压紧</a:t>
          </a:r>
          <a:endParaRPr lang="zh-CN" altLang="en-US" sz="1400">
            <a:solidFill>
              <a:srgbClr val="FF0000"/>
            </a:solidFill>
            <a:latin typeface="微软雅黑" panose="020B0503020204020204" pitchFamily="34" charset="-122"/>
            <a:ea typeface="微软雅黑" panose="020B0503020204020204" pitchFamily="34" charset="-122"/>
          </a:endParaRPr>
        </a:p>
      </xdr:txBody>
    </xdr:sp>
    <xdr:clientData/>
  </xdr:oneCellAnchor>
  <xdr:oneCellAnchor>
    <xdr:from>
      <xdr:col>3</xdr:col>
      <xdr:colOff>942975</xdr:colOff>
      <xdr:row>13</xdr:row>
      <xdr:rowOff>238125</xdr:rowOff>
    </xdr:from>
    <xdr:ext cx="442493" cy="311496"/>
    <xdr:sp>
      <xdr:nvSpPr>
        <xdr:cNvPr id="54" name="TextBox 53"/>
        <xdr:cNvSpPr txBox="1"/>
      </xdr:nvSpPr>
      <xdr:spPr>
        <a:xfrm>
          <a:off x="4648200" y="3569970"/>
          <a:ext cx="441960" cy="3111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400"/>
            <a:t>Fae</a:t>
          </a:r>
          <a:endParaRPr lang="zh-CN" altLang="en-US" sz="1400"/>
        </a:p>
      </xdr:txBody>
    </xdr:sp>
    <xdr:clientData/>
  </xdr:oneCellAnchor>
  <xdr:twoCellAnchor>
    <xdr:from>
      <xdr:col>3</xdr:col>
      <xdr:colOff>876301</xdr:colOff>
      <xdr:row>18</xdr:row>
      <xdr:rowOff>47625</xdr:rowOff>
    </xdr:from>
    <xdr:to>
      <xdr:col>4</xdr:col>
      <xdr:colOff>38100</xdr:colOff>
      <xdr:row>18</xdr:row>
      <xdr:rowOff>47625</xdr:rowOff>
    </xdr:to>
    <xdr:cxnSp>
      <xdr:nvCxnSpPr>
        <xdr:cNvPr id="55" name="直接箭头连接符 54"/>
        <xdr:cNvCxnSpPr/>
      </xdr:nvCxnSpPr>
      <xdr:spPr>
        <a:xfrm flipH="1">
          <a:off x="4581525" y="4655820"/>
          <a:ext cx="504825" cy="0"/>
        </a:xfrm>
        <a:prstGeom prst="straightConnector1">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oneCellAnchor>
    <xdr:from>
      <xdr:col>3</xdr:col>
      <xdr:colOff>933450</xdr:colOff>
      <xdr:row>18</xdr:row>
      <xdr:rowOff>9525</xdr:rowOff>
    </xdr:from>
    <xdr:ext cx="442493" cy="311496"/>
    <xdr:sp>
      <xdr:nvSpPr>
        <xdr:cNvPr id="56" name="TextBox 55"/>
        <xdr:cNvSpPr txBox="1"/>
      </xdr:nvSpPr>
      <xdr:spPr>
        <a:xfrm>
          <a:off x="4638675" y="4617720"/>
          <a:ext cx="441960" cy="3111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400"/>
            <a:t>Fae</a:t>
          </a:r>
          <a:endParaRPr lang="zh-CN" altLang="en-US" sz="1400"/>
        </a:p>
      </xdr:txBody>
    </xdr:sp>
    <xdr:clientData/>
  </xdr:oneCellAnchor>
  <xdr:oneCellAnchor>
    <xdr:from>
      <xdr:col>3</xdr:col>
      <xdr:colOff>542925</xdr:colOff>
      <xdr:row>16</xdr:row>
      <xdr:rowOff>161925</xdr:rowOff>
    </xdr:from>
    <xdr:ext cx="889987" cy="334451"/>
    <xdr:sp>
      <xdr:nvSpPr>
        <xdr:cNvPr id="60" name="TextBox 59"/>
        <xdr:cNvSpPr txBox="1"/>
      </xdr:nvSpPr>
      <xdr:spPr>
        <a:xfrm>
          <a:off x="4248150" y="4259580"/>
          <a:ext cx="889635" cy="3340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100" i="0">
              <a:effectLst>
                <a:glow rad="228600">
                  <a:schemeClr val="accent6">
                    <a:satMod val="175000"/>
                    <a:alpha val="40000"/>
                  </a:schemeClr>
                </a:glow>
              </a:effectLst>
              <a:latin typeface="微软雅黑" panose="020B0503020204020204" pitchFamily="34" charset="-122"/>
              <a:ea typeface="微软雅黑" panose="020B0503020204020204" pitchFamily="34" charset="-122"/>
            </a:rPr>
            <a:t>面朝面安装</a:t>
          </a:r>
          <a:endParaRPr lang="zh-CN" altLang="en-US" sz="1100" i="0">
            <a:effectLst>
              <a:glow rad="228600">
                <a:schemeClr val="accent6">
                  <a:satMod val="1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3</xdr:col>
      <xdr:colOff>533401</xdr:colOff>
      <xdr:row>20</xdr:row>
      <xdr:rowOff>190500</xdr:rowOff>
    </xdr:from>
    <xdr:ext cx="889987" cy="334451"/>
    <xdr:sp>
      <xdr:nvSpPr>
        <xdr:cNvPr id="61" name="TextBox 60"/>
        <xdr:cNvSpPr txBox="1"/>
      </xdr:nvSpPr>
      <xdr:spPr>
        <a:xfrm>
          <a:off x="4238625" y="5309235"/>
          <a:ext cx="889635" cy="3340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100">
              <a:effectLst>
                <a:glow rad="228600">
                  <a:schemeClr val="accent6">
                    <a:satMod val="175000"/>
                    <a:alpha val="40000"/>
                  </a:schemeClr>
                </a:glow>
              </a:effectLst>
              <a:latin typeface="微软雅黑" panose="020B0503020204020204" pitchFamily="34" charset="-122"/>
              <a:ea typeface="微软雅黑" panose="020B0503020204020204" pitchFamily="34" charset="-122"/>
            </a:rPr>
            <a:t>背靠背安装</a:t>
          </a:r>
          <a:endParaRPr lang="zh-CN" altLang="en-US" sz="1100">
            <a:effectLst>
              <a:glow rad="228600">
                <a:schemeClr val="accent6">
                  <a:satMod val="175000"/>
                  <a:alpha val="40000"/>
                </a:schemeClr>
              </a:glow>
            </a:effectLst>
            <a:latin typeface="微软雅黑" panose="020B0503020204020204" pitchFamily="34" charset="-122"/>
            <a:ea typeface="微软雅黑" panose="020B0503020204020204" pitchFamily="34" charset="-122"/>
          </a:endParaRPr>
        </a:p>
      </xdr:txBody>
    </xdr:sp>
    <xdr:clientData/>
  </xdr:oneCellAnchor>
  <xdr:oneCellAnchor>
    <xdr:from>
      <xdr:col>3</xdr:col>
      <xdr:colOff>200025</xdr:colOff>
      <xdr:row>19</xdr:row>
      <xdr:rowOff>104775</xdr:rowOff>
    </xdr:from>
    <xdr:ext cx="1323975" cy="286066"/>
    <xdr:sp>
      <xdr:nvSpPr>
        <xdr:cNvPr id="62" name="TextBox 61"/>
        <xdr:cNvSpPr txBox="1"/>
      </xdr:nvSpPr>
      <xdr:spPr>
        <a:xfrm>
          <a:off x="3905250" y="4968240"/>
          <a:ext cx="1323975" cy="2857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prstTxWarp prst="textStop">
            <a:avLst/>
          </a:prstTxWarp>
          <a:spAutoFit/>
        </a:bodyPr>
        <a:lstStyle/>
        <a:p>
          <a:r>
            <a:rPr lang="zh-CN" altLang="en-US" sz="1400" b="0">
              <a:solidFill>
                <a:srgbClr val="00B050"/>
              </a:solidFill>
              <a:latin typeface="微软雅黑" panose="020B0503020204020204" pitchFamily="34" charset="-122"/>
              <a:ea typeface="微软雅黑" panose="020B0503020204020204" pitchFamily="34" charset="-122"/>
            </a:rPr>
            <a:t>右侧</a:t>
          </a:r>
          <a:r>
            <a:rPr lang="zh-CN" altLang="en-US" sz="1400">
              <a:solidFill>
                <a:srgbClr val="00B050"/>
              </a:solidFill>
              <a:latin typeface="微软雅黑" panose="020B0503020204020204" pitchFamily="34" charset="-122"/>
              <a:ea typeface="微软雅黑" panose="020B0503020204020204" pitchFamily="34" charset="-122"/>
            </a:rPr>
            <a:t>轴承被压紧</a:t>
          </a:r>
          <a:endParaRPr lang="zh-CN" altLang="en-US" sz="1400">
            <a:solidFill>
              <a:srgbClr val="00B050"/>
            </a:solidFill>
            <a:latin typeface="微软雅黑" panose="020B0503020204020204" pitchFamily="34" charset="-122"/>
            <a:ea typeface="微软雅黑" panose="020B0503020204020204" pitchFamily="34" charset="-122"/>
          </a:endParaRPr>
        </a:p>
      </xdr:txBody>
    </xdr:sp>
    <xdr:clientData/>
  </xdr:oneCellAnchor>
  <xdr:twoCellAnchor editAs="oneCell">
    <xdr:from>
      <xdr:col>6</xdr:col>
      <xdr:colOff>647699</xdr:colOff>
      <xdr:row>38</xdr:row>
      <xdr:rowOff>238126</xdr:rowOff>
    </xdr:from>
    <xdr:to>
      <xdr:col>7</xdr:col>
      <xdr:colOff>342899</xdr:colOff>
      <xdr:row>41</xdr:row>
      <xdr:rowOff>11372</xdr:rowOff>
    </xdr:to>
    <xdr:pic>
      <xdr:nvPicPr>
        <xdr:cNvPr id="32809" name="Picture 41"/>
        <xdr:cNvPicPr>
          <a:picLocks noChangeAspect="1" noChangeArrowheads="1"/>
        </xdr:cNvPicPr>
      </xdr:nvPicPr>
      <xdr:blipFill>
        <a:blip r:embed="rId15" cstate="print"/>
        <a:srcRect/>
        <a:stretch>
          <a:fillRect/>
        </a:stretch>
      </xdr:blipFill>
      <xdr:spPr>
        <a:xfrm>
          <a:off x="6933565" y="9951720"/>
          <a:ext cx="504825" cy="538480"/>
        </a:xfrm>
        <a:prstGeom prst="rect">
          <a:avLst/>
        </a:prstGeom>
        <a:noFill/>
        <a:ln w="1">
          <a:noFill/>
          <a:miter lim="800000"/>
          <a:headEnd/>
          <a:tailEnd type="none" w="med" len="med"/>
        </a:ln>
        <a:effectLst/>
      </xdr:spPr>
    </xdr:pic>
    <xdr:clientData/>
  </xdr:twoCellAnchor>
  <xdr:twoCellAnchor editAs="oneCell">
    <xdr:from>
      <xdr:col>7</xdr:col>
      <xdr:colOff>533400</xdr:colOff>
      <xdr:row>37</xdr:row>
      <xdr:rowOff>185817</xdr:rowOff>
    </xdr:from>
    <xdr:to>
      <xdr:col>8</xdr:col>
      <xdr:colOff>195533</xdr:colOff>
      <xdr:row>39</xdr:row>
      <xdr:rowOff>114300</xdr:rowOff>
    </xdr:to>
    <xdr:pic>
      <xdr:nvPicPr>
        <xdr:cNvPr id="32810" name="Picture 42"/>
        <xdr:cNvPicPr>
          <a:picLocks noChangeAspect="1" noChangeArrowheads="1"/>
        </xdr:cNvPicPr>
      </xdr:nvPicPr>
      <xdr:blipFill>
        <a:blip r:embed="rId16" cstate="print"/>
        <a:srcRect/>
        <a:stretch>
          <a:fillRect/>
        </a:stretch>
      </xdr:blipFill>
      <xdr:spPr>
        <a:xfrm>
          <a:off x="7629525" y="9643745"/>
          <a:ext cx="471170" cy="439420"/>
        </a:xfrm>
        <a:prstGeom prst="rect">
          <a:avLst/>
        </a:prstGeom>
        <a:noFill/>
        <a:ln w="1">
          <a:noFill/>
          <a:miter lim="800000"/>
          <a:headEnd/>
          <a:tailEnd type="none" w="med" len="med"/>
        </a:ln>
        <a:effectLst/>
      </xdr:spPr>
    </xdr:pic>
    <xdr:clientData/>
  </xdr:twoCellAnchor>
  <xdr:twoCellAnchor editAs="oneCell">
    <xdr:from>
      <xdr:col>6</xdr:col>
      <xdr:colOff>666750</xdr:colOff>
      <xdr:row>36</xdr:row>
      <xdr:rowOff>238125</xdr:rowOff>
    </xdr:from>
    <xdr:to>
      <xdr:col>7</xdr:col>
      <xdr:colOff>353808</xdr:colOff>
      <xdr:row>38</xdr:row>
      <xdr:rowOff>132627</xdr:rowOff>
    </xdr:to>
    <xdr:pic>
      <xdr:nvPicPr>
        <xdr:cNvPr id="32811" name="Picture 43"/>
        <xdr:cNvPicPr>
          <a:picLocks noChangeAspect="1" noChangeArrowheads="1"/>
        </xdr:cNvPicPr>
      </xdr:nvPicPr>
      <xdr:blipFill>
        <a:blip r:embed="rId17" cstate="print"/>
        <a:srcRect/>
        <a:stretch>
          <a:fillRect/>
        </a:stretch>
      </xdr:blipFill>
      <xdr:spPr>
        <a:xfrm>
          <a:off x="6953250" y="9441180"/>
          <a:ext cx="496570" cy="404495"/>
        </a:xfrm>
        <a:prstGeom prst="rect">
          <a:avLst/>
        </a:prstGeom>
        <a:noFill/>
        <a:ln w="1">
          <a:noFill/>
          <a:miter lim="800000"/>
          <a:headEnd/>
          <a:tailEnd type="none" w="med" len="med"/>
        </a:ln>
        <a:effectLst/>
      </xdr:spPr>
    </xdr:pic>
    <xdr:clientData/>
  </xdr:twoCellAnchor>
  <xdr:twoCellAnchor editAs="oneCell">
    <xdr:from>
      <xdr:col>5</xdr:col>
      <xdr:colOff>19050</xdr:colOff>
      <xdr:row>31</xdr:row>
      <xdr:rowOff>219075</xdr:rowOff>
    </xdr:from>
    <xdr:to>
      <xdr:col>5</xdr:col>
      <xdr:colOff>552450</xdr:colOff>
      <xdr:row>34</xdr:row>
      <xdr:rowOff>85725</xdr:rowOff>
    </xdr:to>
    <xdr:pic>
      <xdr:nvPicPr>
        <xdr:cNvPr id="32812" name="Picture 44"/>
        <xdr:cNvPicPr>
          <a:picLocks noChangeAspect="1" noChangeArrowheads="1"/>
        </xdr:cNvPicPr>
      </xdr:nvPicPr>
      <xdr:blipFill>
        <a:blip r:embed="rId18" cstate="print"/>
        <a:srcRect/>
        <a:stretch>
          <a:fillRect/>
        </a:stretch>
      </xdr:blipFill>
      <xdr:spPr>
        <a:xfrm>
          <a:off x="5495925" y="8145780"/>
          <a:ext cx="533400" cy="632460"/>
        </a:xfrm>
        <a:prstGeom prst="rect">
          <a:avLst/>
        </a:prstGeom>
        <a:noFill/>
        <a:ln w="1">
          <a:noFill/>
          <a:miter lim="800000"/>
          <a:headEnd/>
          <a:tailEnd type="none" w="med" len="med"/>
        </a:ln>
        <a:effectLst/>
      </xdr:spPr>
    </xdr:pic>
    <xdr:clientData/>
  </xdr:twoCellAnchor>
  <xdr:twoCellAnchor editAs="oneCell">
    <xdr:from>
      <xdr:col>5</xdr:col>
      <xdr:colOff>47625</xdr:colOff>
      <xdr:row>23</xdr:row>
      <xdr:rowOff>104775</xdr:rowOff>
    </xdr:from>
    <xdr:to>
      <xdr:col>5</xdr:col>
      <xdr:colOff>590550</xdr:colOff>
      <xdr:row>25</xdr:row>
      <xdr:rowOff>180975</xdr:rowOff>
    </xdr:to>
    <xdr:pic>
      <xdr:nvPicPr>
        <xdr:cNvPr id="32813" name="Picture 45"/>
        <xdr:cNvPicPr>
          <a:picLocks noChangeAspect="1" noChangeArrowheads="1"/>
        </xdr:cNvPicPr>
      </xdr:nvPicPr>
      <xdr:blipFill>
        <a:blip r:embed="rId19" cstate="print"/>
        <a:srcRect/>
        <a:stretch>
          <a:fillRect/>
        </a:stretch>
      </xdr:blipFill>
      <xdr:spPr>
        <a:xfrm>
          <a:off x="5524500" y="5989320"/>
          <a:ext cx="542925" cy="586740"/>
        </a:xfrm>
        <a:prstGeom prst="rect">
          <a:avLst/>
        </a:prstGeom>
        <a:noFill/>
        <a:ln w="1">
          <a:noFill/>
          <a:miter lim="800000"/>
          <a:headEnd/>
          <a:tailEnd type="none" w="med" len="med"/>
        </a:ln>
        <a:effectLst/>
      </xdr:spPr>
    </xdr:pic>
    <xdr:clientData/>
  </xdr:twoCellAnchor>
  <xdr:twoCellAnchor editAs="oneCell">
    <xdr:from>
      <xdr:col>5</xdr:col>
      <xdr:colOff>1</xdr:colOff>
      <xdr:row>139</xdr:row>
      <xdr:rowOff>1</xdr:rowOff>
    </xdr:from>
    <xdr:to>
      <xdr:col>12</xdr:col>
      <xdr:colOff>704850</xdr:colOff>
      <xdr:row>146</xdr:row>
      <xdr:rowOff>233081</xdr:rowOff>
    </xdr:to>
    <xdr:pic>
      <xdr:nvPicPr>
        <xdr:cNvPr id="32814" name="Picture 46"/>
        <xdr:cNvPicPr>
          <a:picLocks noChangeAspect="1" noChangeArrowheads="1"/>
        </xdr:cNvPicPr>
      </xdr:nvPicPr>
      <xdr:blipFill>
        <a:blip r:embed="rId20" cstate="print"/>
        <a:srcRect/>
        <a:stretch>
          <a:fillRect/>
        </a:stretch>
      </xdr:blipFill>
      <xdr:spPr>
        <a:xfrm>
          <a:off x="5476875" y="35495865"/>
          <a:ext cx="6372225" cy="2019935"/>
        </a:xfrm>
        <a:prstGeom prst="rect">
          <a:avLst/>
        </a:prstGeom>
        <a:noFill/>
        <a:ln w="1">
          <a:noFill/>
          <a:miter lim="800000"/>
          <a:headEnd/>
          <a:tailEnd type="none" w="med" len="med"/>
        </a:ln>
        <a:effectLst/>
      </xdr:spPr>
    </xdr:pic>
    <xdr:clientData/>
  </xdr:twoCellAnchor>
  <xdr:twoCellAnchor editAs="oneCell">
    <xdr:from>
      <xdr:col>12</xdr:col>
      <xdr:colOff>685800</xdr:colOff>
      <xdr:row>139</xdr:row>
      <xdr:rowOff>123825</xdr:rowOff>
    </xdr:from>
    <xdr:to>
      <xdr:col>16</xdr:col>
      <xdr:colOff>266700</xdr:colOff>
      <xdr:row>146</xdr:row>
      <xdr:rowOff>180975</xdr:rowOff>
    </xdr:to>
    <xdr:pic>
      <xdr:nvPicPr>
        <xdr:cNvPr id="32815" name="Picture 47"/>
        <xdr:cNvPicPr>
          <a:picLocks noChangeAspect="1" noChangeArrowheads="1"/>
        </xdr:cNvPicPr>
      </xdr:nvPicPr>
      <xdr:blipFill>
        <a:blip r:embed="rId21" cstate="print"/>
        <a:srcRect/>
        <a:stretch>
          <a:fillRect/>
        </a:stretch>
      </xdr:blipFill>
      <xdr:spPr>
        <a:xfrm>
          <a:off x="11830050" y="35619690"/>
          <a:ext cx="3324225" cy="1844040"/>
        </a:xfrm>
        <a:prstGeom prst="rect">
          <a:avLst/>
        </a:prstGeom>
        <a:noFill/>
        <a:ln w="1">
          <a:noFill/>
          <a:miter lim="800000"/>
          <a:headEnd/>
          <a:tailEnd type="none" w="med" len="med"/>
        </a:ln>
        <a:effectLst/>
      </xdr:spPr>
    </xdr:pic>
    <xdr:clientData/>
  </xdr:twoCellAnchor>
  <xdr:twoCellAnchor editAs="oneCell">
    <xdr:from>
      <xdr:col>5</xdr:col>
      <xdr:colOff>0</xdr:colOff>
      <xdr:row>148</xdr:row>
      <xdr:rowOff>0</xdr:rowOff>
    </xdr:from>
    <xdr:to>
      <xdr:col>9</xdr:col>
      <xdr:colOff>152400</xdr:colOff>
      <xdr:row>155</xdr:row>
      <xdr:rowOff>142875</xdr:rowOff>
    </xdr:to>
    <xdr:pic>
      <xdr:nvPicPr>
        <xdr:cNvPr id="32816" name="Picture 48"/>
        <xdr:cNvPicPr>
          <a:picLocks noChangeAspect="1" noChangeArrowheads="1"/>
        </xdr:cNvPicPr>
      </xdr:nvPicPr>
      <xdr:blipFill>
        <a:blip r:embed="rId22" cstate="print"/>
        <a:srcRect/>
        <a:stretch>
          <a:fillRect/>
        </a:stretch>
      </xdr:blipFill>
      <xdr:spPr>
        <a:xfrm>
          <a:off x="5476875" y="37793295"/>
          <a:ext cx="3390900" cy="1929765"/>
        </a:xfrm>
        <a:prstGeom prst="rect">
          <a:avLst/>
        </a:prstGeom>
        <a:noFill/>
        <a:ln w="1">
          <a:noFill/>
          <a:miter lim="800000"/>
          <a:headEnd/>
          <a:tailEnd type="none" w="med" len="med"/>
        </a:ln>
        <a:effectLst/>
      </xdr:spPr>
    </xdr:pic>
    <xdr:clientData/>
  </xdr:twoCellAnchor>
  <xdr:twoCellAnchor editAs="oneCell">
    <xdr:from>
      <xdr:col>9</xdr:col>
      <xdr:colOff>114300</xdr:colOff>
      <xdr:row>148</xdr:row>
      <xdr:rowOff>9525</xdr:rowOff>
    </xdr:from>
    <xdr:to>
      <xdr:col>12</xdr:col>
      <xdr:colOff>165764</xdr:colOff>
      <xdr:row>156</xdr:row>
      <xdr:rowOff>9525</xdr:rowOff>
    </xdr:to>
    <xdr:pic>
      <xdr:nvPicPr>
        <xdr:cNvPr id="32817" name="Picture 49"/>
        <xdr:cNvPicPr>
          <a:picLocks noChangeAspect="1" noChangeArrowheads="1"/>
        </xdr:cNvPicPr>
      </xdr:nvPicPr>
      <xdr:blipFill>
        <a:blip r:embed="rId23" cstate="print"/>
        <a:srcRect/>
        <a:stretch>
          <a:fillRect/>
        </a:stretch>
      </xdr:blipFill>
      <xdr:spPr>
        <a:xfrm>
          <a:off x="8829675" y="37802820"/>
          <a:ext cx="2480310" cy="2042160"/>
        </a:xfrm>
        <a:prstGeom prst="rect">
          <a:avLst/>
        </a:prstGeom>
        <a:noFill/>
        <a:ln w="1">
          <a:noFill/>
          <a:miter lim="800000"/>
          <a:headEnd/>
          <a:tailEnd type="none" w="med" len="med"/>
        </a:ln>
        <a:effectLst/>
      </xdr:spPr>
    </xdr:pic>
    <xdr:clientData/>
  </xdr:twoCellAnchor>
  <xdr:oneCellAnchor>
    <xdr:from>
      <xdr:col>3</xdr:col>
      <xdr:colOff>1249986</xdr:colOff>
      <xdr:row>122</xdr:row>
      <xdr:rowOff>47625</xdr:rowOff>
    </xdr:from>
    <xdr:ext cx="476862" cy="2825453"/>
    <xdr:sp>
      <xdr:nvSpPr>
        <xdr:cNvPr id="73" name="TextBox 72"/>
        <xdr:cNvSpPr txBox="1"/>
      </xdr:nvSpPr>
      <xdr:spPr>
        <a:xfrm>
          <a:off x="4954905" y="31203900"/>
          <a:ext cx="476885" cy="28251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vert="wordArtVertRtl" wrap="none" rtlCol="0" anchor="t">
          <a:spAutoFit/>
        </a:bodyPr>
        <a:lstStyle/>
        <a:p>
          <a:r>
            <a:rPr lang="zh-CN" altLang="en-US" sz="1600" b="1" i="0">
              <a:solidFill>
                <a:srgbClr val="FFC000"/>
              </a:solidFill>
            </a:rPr>
            <a:t>若不合格则重新选择型号</a:t>
          </a:r>
          <a:endParaRPr lang="zh-CN" altLang="en-US" sz="1600" b="1" i="0">
            <a:solidFill>
              <a:srgbClr val="FFC000"/>
            </a:solidFill>
          </a:endParaRPr>
        </a:p>
      </xdr:txBody>
    </xdr:sp>
    <xdr:clientData/>
  </xdr:oneCellAnchor>
  <xdr:twoCellAnchor>
    <xdr:from>
      <xdr:col>4</xdr:col>
      <xdr:colOff>47625</xdr:colOff>
      <xdr:row>121</xdr:row>
      <xdr:rowOff>0</xdr:rowOff>
    </xdr:from>
    <xdr:to>
      <xdr:col>4</xdr:col>
      <xdr:colOff>342902</xdr:colOff>
      <xdr:row>134</xdr:row>
      <xdr:rowOff>171452</xdr:rowOff>
    </xdr:to>
    <xdr:sp>
      <xdr:nvSpPr>
        <xdr:cNvPr id="74" name="手杖形箭头 73"/>
        <xdr:cNvSpPr/>
      </xdr:nvSpPr>
      <xdr:spPr>
        <a:xfrm rot="-5400000" flipV="1">
          <a:off x="3498215" y="32498030"/>
          <a:ext cx="3489960" cy="295275"/>
        </a:xfrm>
        <a:prstGeom prst="uturnArrow">
          <a:avLst>
            <a:gd name="adj1" fmla="val 25000"/>
            <a:gd name="adj2" fmla="val 23387"/>
            <a:gd name="adj3" fmla="val 31452"/>
            <a:gd name="adj4" fmla="val 43750"/>
            <a:gd name="adj5" fmla="val 100000"/>
          </a:avLst>
        </a:prstGeom>
      </xdr:spPr>
      <xdr:style>
        <a:lnRef idx="1">
          <a:schemeClr val="accent3"/>
        </a:lnRef>
        <a:fillRef idx="3">
          <a:schemeClr val="accent3"/>
        </a:fillRef>
        <a:effectRef idx="2">
          <a:schemeClr val="accent3"/>
        </a:effectRef>
        <a:fontRef idx="minor">
          <a:schemeClr val="lt1"/>
        </a:fontRef>
      </xdr:style>
      <xdr:txBody>
        <a:bodyPr vertOverflow="clip" rtlCol="0" anchor="ctr"/>
        <a:lstStyle/>
        <a:p>
          <a:pPr algn="ctr"/>
          <a:endParaRPr lang="zh-CN" altLang="en-US" sz="1100">
            <a:solidFill>
              <a:schemeClr val="tx1"/>
            </a:solidFill>
          </a:endParaRPr>
        </a:p>
      </xdr:txBody>
    </xdr:sp>
    <xdr:clientData/>
  </xdr:twoCellAnchor>
  <xdr:twoCellAnchor editAs="oneCell">
    <xdr:from>
      <xdr:col>5</xdr:col>
      <xdr:colOff>0</xdr:colOff>
      <xdr:row>156</xdr:row>
      <xdr:rowOff>1</xdr:rowOff>
    </xdr:from>
    <xdr:to>
      <xdr:col>12</xdr:col>
      <xdr:colOff>733425</xdr:colOff>
      <xdr:row>162</xdr:row>
      <xdr:rowOff>114301</xdr:rowOff>
    </xdr:to>
    <xdr:pic>
      <xdr:nvPicPr>
        <xdr:cNvPr id="75" name="Picture 50"/>
        <xdr:cNvPicPr>
          <a:picLocks noChangeAspect="1" noChangeArrowheads="1"/>
        </xdr:cNvPicPr>
      </xdr:nvPicPr>
      <xdr:blipFill>
        <a:blip r:embed="rId24" cstate="print"/>
        <a:srcRect/>
        <a:stretch>
          <a:fillRect/>
        </a:stretch>
      </xdr:blipFill>
      <xdr:spPr>
        <a:xfrm>
          <a:off x="5476875" y="39835455"/>
          <a:ext cx="6400800" cy="1645920"/>
        </a:xfrm>
        <a:prstGeom prst="rect">
          <a:avLst/>
        </a:prstGeom>
        <a:noFill/>
        <a:ln w="1">
          <a:noFill/>
          <a:miter lim="800000"/>
          <a:headEnd/>
          <a:tailEnd type="none" w="med" len="med"/>
        </a:ln>
        <a:effectLst/>
      </xdr:spPr>
    </xdr:pic>
    <xdr:clientData/>
  </xdr:twoCellAnchor>
  <xdr:twoCellAnchor>
    <xdr:from>
      <xdr:col>0</xdr:col>
      <xdr:colOff>19048</xdr:colOff>
      <xdr:row>0</xdr:row>
      <xdr:rowOff>28575</xdr:rowOff>
    </xdr:from>
    <xdr:to>
      <xdr:col>0</xdr:col>
      <xdr:colOff>828674</xdr:colOff>
      <xdr:row>0</xdr:row>
      <xdr:rowOff>266700</xdr:rowOff>
    </xdr:to>
    <xdr:sp>
      <xdr:nvSpPr>
        <xdr:cNvPr id="66" name="五边形 65">
          <a:hlinkClick xmlns:r="http://schemas.openxmlformats.org/officeDocument/2006/relationships" r:id="rId25"/>
        </xdr:cNvPr>
        <xdr:cNvSpPr/>
      </xdr:nvSpPr>
      <xdr:spPr>
        <a:xfrm flipH="1">
          <a:off x="18415" y="28575"/>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mc:AlternateContent xmlns:mc="http://schemas.openxmlformats.org/markup-compatibility/2006">
    <mc:Choice xmlns:a14="http://schemas.microsoft.com/office/drawing/2010/main" Requires="a14">
      <xdr:twoCellAnchor editAs="oneCell">
        <xdr:from>
          <xdr:col>3</xdr:col>
          <xdr:colOff>304800</xdr:colOff>
          <xdr:row>63</xdr:row>
          <xdr:rowOff>30480</xdr:rowOff>
        </xdr:from>
        <xdr:to>
          <xdr:col>4</xdr:col>
          <xdr:colOff>0</xdr:colOff>
          <xdr:row>64</xdr:row>
          <xdr:rowOff>175260</xdr:rowOff>
        </xdr:to>
        <xdr:sp>
          <xdr:nvSpPr>
            <xdr:cNvPr id="32785" name="Object 17" hidden="1">
              <a:extLst>
                <a:ext uri="{63B3BB69-23CF-44E3-9099-C40C66FF867C}">
                  <a14:compatExt spid="_x0000_s32785"/>
                </a:ext>
              </a:extLst>
            </xdr:cNvPr>
            <xdr:cNvSpPr/>
          </xdr:nvSpPr>
          <xdr:spPr>
            <a:xfrm>
              <a:off x="4010025" y="16125825"/>
              <a:ext cx="1038225" cy="40005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259080</xdr:colOff>
          <xdr:row>65</xdr:row>
          <xdr:rowOff>144145</xdr:rowOff>
        </xdr:from>
        <xdr:to>
          <xdr:col>4</xdr:col>
          <xdr:colOff>0</xdr:colOff>
          <xdr:row>67</xdr:row>
          <xdr:rowOff>91440</xdr:rowOff>
        </xdr:to>
        <xdr:sp>
          <xdr:nvSpPr>
            <xdr:cNvPr id="32787" name="Object 19" hidden="1">
              <a:extLst>
                <a:ext uri="{63B3BB69-23CF-44E3-9099-C40C66FF867C}">
                  <a14:compatExt spid="_x0000_s32787"/>
                </a:ext>
              </a:extLst>
            </xdr:cNvPr>
            <xdr:cNvSpPr/>
          </xdr:nvSpPr>
          <xdr:spPr>
            <a:xfrm>
              <a:off x="3964305" y="16750030"/>
              <a:ext cx="1083945" cy="45783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7620</xdr:colOff>
          <xdr:row>106</xdr:row>
          <xdr:rowOff>30480</xdr:rowOff>
        </xdr:from>
        <xdr:to>
          <xdr:col>3</xdr:col>
          <xdr:colOff>822960</xdr:colOff>
          <xdr:row>108</xdr:row>
          <xdr:rowOff>0</xdr:rowOff>
        </xdr:to>
        <xdr:sp>
          <xdr:nvSpPr>
            <xdr:cNvPr id="32789" name="Object 21" hidden="1">
              <a:extLst>
                <a:ext uri="{63B3BB69-23CF-44E3-9099-C40C66FF867C}">
                  <a14:compatExt spid="_x0000_s32789"/>
                </a:ext>
              </a:extLst>
            </xdr:cNvPr>
            <xdr:cNvSpPr/>
          </xdr:nvSpPr>
          <xdr:spPr>
            <a:xfrm>
              <a:off x="3712845" y="27102435"/>
              <a:ext cx="815340" cy="48006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7620</xdr:colOff>
          <xdr:row>110</xdr:row>
          <xdr:rowOff>30480</xdr:rowOff>
        </xdr:from>
        <xdr:to>
          <xdr:col>3</xdr:col>
          <xdr:colOff>876300</xdr:colOff>
          <xdr:row>112</xdr:row>
          <xdr:rowOff>0</xdr:rowOff>
        </xdr:to>
        <xdr:sp>
          <xdr:nvSpPr>
            <xdr:cNvPr id="32790" name="Object 22" hidden="1">
              <a:extLst>
                <a:ext uri="{63B3BB69-23CF-44E3-9099-C40C66FF867C}">
                  <a14:compatExt spid="_x0000_s32790"/>
                </a:ext>
              </a:extLst>
            </xdr:cNvPr>
            <xdr:cNvSpPr/>
          </xdr:nvSpPr>
          <xdr:spPr>
            <a:xfrm>
              <a:off x="3712845" y="28123515"/>
              <a:ext cx="868680" cy="48006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304800</xdr:colOff>
          <xdr:row>91</xdr:row>
          <xdr:rowOff>45720</xdr:rowOff>
        </xdr:from>
        <xdr:to>
          <xdr:col>4</xdr:col>
          <xdr:colOff>0</xdr:colOff>
          <xdr:row>92</xdr:row>
          <xdr:rowOff>190500</xdr:rowOff>
        </xdr:to>
        <xdr:sp>
          <xdr:nvSpPr>
            <xdr:cNvPr id="32797" name="Object 29" hidden="1">
              <a:extLst>
                <a:ext uri="{63B3BB69-23CF-44E3-9099-C40C66FF867C}">
                  <a14:compatExt spid="_x0000_s32797"/>
                </a:ext>
              </a:extLst>
            </xdr:cNvPr>
            <xdr:cNvSpPr/>
          </xdr:nvSpPr>
          <xdr:spPr>
            <a:xfrm>
              <a:off x="4010025" y="23288625"/>
              <a:ext cx="1038225" cy="40005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259080</xdr:colOff>
          <xdr:row>93</xdr:row>
          <xdr:rowOff>144145</xdr:rowOff>
        </xdr:from>
        <xdr:to>
          <xdr:col>4</xdr:col>
          <xdr:colOff>0</xdr:colOff>
          <xdr:row>95</xdr:row>
          <xdr:rowOff>91440</xdr:rowOff>
        </xdr:to>
        <xdr:sp>
          <xdr:nvSpPr>
            <xdr:cNvPr id="32798" name="Object 30" hidden="1">
              <a:extLst>
                <a:ext uri="{63B3BB69-23CF-44E3-9099-C40C66FF867C}">
                  <a14:compatExt spid="_x0000_s32798"/>
                </a:ext>
              </a:extLst>
            </xdr:cNvPr>
            <xdr:cNvSpPr/>
          </xdr:nvSpPr>
          <xdr:spPr>
            <a:xfrm>
              <a:off x="3964305" y="23897590"/>
              <a:ext cx="1083945" cy="45783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22860</xdr:colOff>
          <xdr:row>4</xdr:row>
          <xdr:rowOff>15240</xdr:rowOff>
        </xdr:from>
        <xdr:to>
          <xdr:col>6</xdr:col>
          <xdr:colOff>0</xdr:colOff>
          <xdr:row>5</xdr:row>
          <xdr:rowOff>190500</xdr:rowOff>
        </xdr:to>
        <xdr:sp>
          <xdr:nvSpPr>
            <xdr:cNvPr id="32799" name="Object 34" hidden="1">
              <a:extLst>
                <a:ext uri="{63B3BB69-23CF-44E3-9099-C40C66FF867C}">
                  <a14:compatExt spid="_x0000_s32799"/>
                </a:ext>
              </a:extLst>
            </xdr:cNvPr>
            <xdr:cNvSpPr/>
          </xdr:nvSpPr>
          <xdr:spPr>
            <a:xfrm>
              <a:off x="5499735" y="1049655"/>
              <a:ext cx="786765" cy="43053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358140</xdr:colOff>
          <xdr:row>132</xdr:row>
          <xdr:rowOff>76200</xdr:rowOff>
        </xdr:from>
        <xdr:to>
          <xdr:col>4</xdr:col>
          <xdr:colOff>0</xdr:colOff>
          <xdr:row>134</xdr:row>
          <xdr:rowOff>0</xdr:rowOff>
        </xdr:to>
        <xdr:sp>
          <xdr:nvSpPr>
            <xdr:cNvPr id="32819" name="Object 51" hidden="1">
              <a:extLst>
                <a:ext uri="{63B3BB69-23CF-44E3-9099-C40C66FF867C}">
                  <a14:compatExt spid="_x0000_s32819"/>
                </a:ext>
              </a:extLst>
            </xdr:cNvPr>
            <xdr:cNvSpPr/>
          </xdr:nvSpPr>
          <xdr:spPr>
            <a:xfrm>
              <a:off x="4063365" y="33785175"/>
              <a:ext cx="984885" cy="43434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259080</xdr:colOff>
          <xdr:row>134</xdr:row>
          <xdr:rowOff>144145</xdr:rowOff>
        </xdr:from>
        <xdr:to>
          <xdr:col>4</xdr:col>
          <xdr:colOff>0</xdr:colOff>
          <xdr:row>136</xdr:row>
          <xdr:rowOff>91440</xdr:rowOff>
        </xdr:to>
        <xdr:sp>
          <xdr:nvSpPr>
            <xdr:cNvPr id="32820" name="Object 52" hidden="1">
              <a:extLst>
                <a:ext uri="{63B3BB69-23CF-44E3-9099-C40C66FF867C}">
                  <a14:compatExt spid="_x0000_s32820"/>
                </a:ext>
              </a:extLst>
            </xdr:cNvPr>
            <xdr:cNvSpPr/>
          </xdr:nvSpPr>
          <xdr:spPr>
            <a:xfrm>
              <a:off x="3964305" y="34363660"/>
              <a:ext cx="1083945" cy="457835"/>
            </a:xfrm>
            <a:prstGeom prst="rect">
              <a:avLst/>
            </a:prstGeom>
          </xdr:spPr>
        </xdr:sp>
        <xdr:clientData/>
      </xdr:twoCellAnchor>
    </mc:Choice>
    <mc:Fallback/>
  </mc:AlternateContent>
</xdr:wsDr>
</file>

<file path=xl/drawings/drawing30.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371476</xdr:colOff>
      <xdr:row>2</xdr:row>
      <xdr:rowOff>28576</xdr:rowOff>
    </xdr:from>
    <xdr:to>
      <xdr:col>6</xdr:col>
      <xdr:colOff>1619251</xdr:colOff>
      <xdr:row>7</xdr:row>
      <xdr:rowOff>142876</xdr:rowOff>
    </xdr:to>
    <xdr:pic>
      <xdr:nvPicPr>
        <xdr:cNvPr id="13318" name="Picture 6"/>
        <xdr:cNvPicPr>
          <a:picLocks noChangeAspect="1" noChangeArrowheads="1"/>
        </xdr:cNvPicPr>
      </xdr:nvPicPr>
      <xdr:blipFill>
        <a:blip r:embed="rId1" cstate="print"/>
        <a:srcRect/>
        <a:stretch>
          <a:fillRect/>
        </a:stretch>
      </xdr:blipFill>
      <xdr:spPr>
        <a:xfrm>
          <a:off x="6781800" y="562610"/>
          <a:ext cx="3181350" cy="1390650"/>
        </a:xfrm>
        <a:prstGeom prst="rect">
          <a:avLst/>
        </a:prstGeom>
        <a:noFill/>
        <a:ln w="1">
          <a:noFill/>
          <a:miter lim="800000"/>
          <a:headEnd/>
          <a:tailEnd type="none" w="med" len="med"/>
        </a:ln>
        <a:effectLst/>
      </xdr:spPr>
    </xdr:pic>
    <xdr:clientData/>
  </xdr:twoCellAnchor>
  <xdr:twoCellAnchor editAs="oneCell">
    <xdr:from>
      <xdr:col>4</xdr:col>
      <xdr:colOff>523874</xdr:colOff>
      <xdr:row>9</xdr:row>
      <xdr:rowOff>0</xdr:rowOff>
    </xdr:from>
    <xdr:to>
      <xdr:col>8</xdr:col>
      <xdr:colOff>1333499</xdr:colOff>
      <xdr:row>13</xdr:row>
      <xdr:rowOff>190499</xdr:rowOff>
    </xdr:to>
    <xdr:pic>
      <xdr:nvPicPr>
        <xdr:cNvPr id="13321" name="Picture 9"/>
        <xdr:cNvPicPr>
          <a:picLocks noChangeAspect="1" noChangeArrowheads="1"/>
        </xdr:cNvPicPr>
      </xdr:nvPicPr>
      <xdr:blipFill>
        <a:blip r:embed="rId2" cstate="print"/>
        <a:srcRect/>
        <a:stretch>
          <a:fillRect/>
        </a:stretch>
      </xdr:blipFill>
      <xdr:spPr>
        <a:xfrm>
          <a:off x="6933565" y="2320925"/>
          <a:ext cx="5819775" cy="1210945"/>
        </a:xfrm>
        <a:prstGeom prst="rect">
          <a:avLst/>
        </a:prstGeom>
        <a:noFill/>
        <a:ln w="1">
          <a:noFill/>
          <a:miter lim="800000"/>
          <a:headEnd/>
          <a:tailEnd type="none" w="med" len="med"/>
        </a:ln>
        <a:effectLst/>
      </xdr:spPr>
    </xdr:pic>
    <xdr:clientData/>
  </xdr:twoCellAnchor>
  <xdr:twoCellAnchor editAs="oneCell">
    <xdr:from>
      <xdr:col>3</xdr:col>
      <xdr:colOff>9525</xdr:colOff>
      <xdr:row>3</xdr:row>
      <xdr:rowOff>9526</xdr:rowOff>
    </xdr:from>
    <xdr:to>
      <xdr:col>3</xdr:col>
      <xdr:colOff>1333501</xdr:colOff>
      <xdr:row>6</xdr:row>
      <xdr:rowOff>104775</xdr:rowOff>
    </xdr:to>
    <xdr:pic>
      <xdr:nvPicPr>
        <xdr:cNvPr id="13323" name="Picture 11"/>
        <xdr:cNvPicPr>
          <a:picLocks noChangeAspect="1" noChangeArrowheads="1"/>
        </xdr:cNvPicPr>
      </xdr:nvPicPr>
      <xdr:blipFill>
        <a:blip r:embed="rId3" cstate="print"/>
        <a:srcRect/>
        <a:stretch>
          <a:fillRect/>
        </a:stretch>
      </xdr:blipFill>
      <xdr:spPr>
        <a:xfrm>
          <a:off x="4743450" y="798830"/>
          <a:ext cx="1323975" cy="861060"/>
        </a:xfrm>
        <a:prstGeom prst="rect">
          <a:avLst/>
        </a:prstGeom>
        <a:noFill/>
        <a:ln w="1">
          <a:noFill/>
          <a:miter lim="800000"/>
          <a:headEnd/>
          <a:tailEnd type="none" w="med" len="med"/>
        </a:ln>
        <a:effectLst/>
      </xdr:spPr>
    </xdr:pic>
    <xdr:clientData/>
  </xdr:twoCellAnchor>
  <xdr:twoCellAnchor editAs="oneCell">
    <xdr:from>
      <xdr:col>3</xdr:col>
      <xdr:colOff>9525</xdr:colOff>
      <xdr:row>86</xdr:row>
      <xdr:rowOff>209550</xdr:rowOff>
    </xdr:from>
    <xdr:to>
      <xdr:col>3</xdr:col>
      <xdr:colOff>1577729</xdr:colOff>
      <xdr:row>91</xdr:row>
      <xdr:rowOff>133350</xdr:rowOff>
    </xdr:to>
    <xdr:pic>
      <xdr:nvPicPr>
        <xdr:cNvPr id="13326" name="Picture 14"/>
        <xdr:cNvPicPr>
          <a:picLocks noChangeAspect="1" noChangeArrowheads="1"/>
        </xdr:cNvPicPr>
      </xdr:nvPicPr>
      <xdr:blipFill>
        <a:blip r:embed="rId4" cstate="print"/>
        <a:srcRect/>
        <a:stretch>
          <a:fillRect/>
        </a:stretch>
      </xdr:blipFill>
      <xdr:spPr>
        <a:xfrm>
          <a:off x="4743450" y="22186265"/>
          <a:ext cx="1567815" cy="1200150"/>
        </a:xfrm>
        <a:prstGeom prst="rect">
          <a:avLst/>
        </a:prstGeom>
        <a:noFill/>
        <a:ln w="1">
          <a:noFill/>
          <a:miter lim="800000"/>
          <a:headEnd/>
          <a:tailEnd type="none" w="med" len="med"/>
        </a:ln>
        <a:effectLst/>
      </xdr:spPr>
    </xdr:pic>
    <xdr:clientData/>
  </xdr:twoCellAnchor>
  <xdr:twoCellAnchor editAs="oneCell">
    <xdr:from>
      <xdr:col>4</xdr:col>
      <xdr:colOff>581025</xdr:colOff>
      <xdr:row>35</xdr:row>
      <xdr:rowOff>9525</xdr:rowOff>
    </xdr:from>
    <xdr:to>
      <xdr:col>8</xdr:col>
      <xdr:colOff>975836</xdr:colOff>
      <xdr:row>46</xdr:row>
      <xdr:rowOff>57150</xdr:rowOff>
    </xdr:to>
    <xdr:pic>
      <xdr:nvPicPr>
        <xdr:cNvPr id="13327" name="Picture 15"/>
        <xdr:cNvPicPr>
          <a:picLocks noChangeAspect="1" noChangeArrowheads="1"/>
        </xdr:cNvPicPr>
      </xdr:nvPicPr>
      <xdr:blipFill>
        <a:blip r:embed="rId5" cstate="print"/>
        <a:srcRect/>
        <a:stretch>
          <a:fillRect/>
        </a:stretch>
      </xdr:blipFill>
      <xdr:spPr>
        <a:xfrm>
          <a:off x="6991350" y="8967470"/>
          <a:ext cx="5404485" cy="2855595"/>
        </a:xfrm>
        <a:prstGeom prst="rect">
          <a:avLst/>
        </a:prstGeom>
        <a:noFill/>
        <a:ln w="1">
          <a:noFill/>
          <a:miter lim="800000"/>
          <a:headEnd/>
          <a:tailEnd type="none" w="med" len="med"/>
        </a:ln>
        <a:effectLst/>
      </xdr:spPr>
    </xdr:pic>
    <xdr:clientData/>
  </xdr:twoCellAnchor>
  <xdr:twoCellAnchor editAs="oneCell">
    <xdr:from>
      <xdr:col>3</xdr:col>
      <xdr:colOff>14285</xdr:colOff>
      <xdr:row>6</xdr:row>
      <xdr:rowOff>123825</xdr:rowOff>
    </xdr:from>
    <xdr:to>
      <xdr:col>3</xdr:col>
      <xdr:colOff>1333500</xdr:colOff>
      <xdr:row>10</xdr:row>
      <xdr:rowOff>195264</xdr:rowOff>
    </xdr:to>
    <xdr:pic>
      <xdr:nvPicPr>
        <xdr:cNvPr id="13328" name="Picture 16"/>
        <xdr:cNvPicPr>
          <a:picLocks noChangeAspect="1" noChangeArrowheads="1"/>
        </xdr:cNvPicPr>
      </xdr:nvPicPr>
      <xdr:blipFill>
        <a:blip r:embed="rId6" cstate="print"/>
        <a:srcRect/>
        <a:stretch>
          <a:fillRect/>
        </a:stretch>
      </xdr:blipFill>
      <xdr:spPr>
        <a:xfrm>
          <a:off x="4747895" y="1678940"/>
          <a:ext cx="1319530" cy="1092200"/>
        </a:xfrm>
        <a:prstGeom prst="rect">
          <a:avLst/>
        </a:prstGeom>
        <a:noFill/>
        <a:ln w="1">
          <a:noFill/>
          <a:miter lim="800000"/>
          <a:headEnd/>
          <a:tailEnd type="none" w="med" len="med"/>
        </a:ln>
        <a:effectLst/>
      </xdr:spPr>
    </xdr:pic>
    <xdr:clientData/>
  </xdr:twoCellAnchor>
  <xdr:twoCellAnchor editAs="oneCell">
    <xdr:from>
      <xdr:col>3</xdr:col>
      <xdr:colOff>9526</xdr:colOff>
      <xdr:row>81</xdr:row>
      <xdr:rowOff>9525</xdr:rowOff>
    </xdr:from>
    <xdr:to>
      <xdr:col>4</xdr:col>
      <xdr:colOff>152400</xdr:colOff>
      <xdr:row>86</xdr:row>
      <xdr:rowOff>114300</xdr:rowOff>
    </xdr:to>
    <xdr:pic>
      <xdr:nvPicPr>
        <xdr:cNvPr id="13332" name="Picture 20"/>
        <xdr:cNvPicPr>
          <a:picLocks noChangeAspect="1" noChangeArrowheads="1"/>
        </xdr:cNvPicPr>
      </xdr:nvPicPr>
      <xdr:blipFill>
        <a:blip r:embed="rId7" cstate="print"/>
        <a:srcRect/>
        <a:stretch>
          <a:fillRect/>
        </a:stretch>
      </xdr:blipFill>
      <xdr:spPr>
        <a:xfrm>
          <a:off x="4743450" y="20709890"/>
          <a:ext cx="1819275" cy="1381125"/>
        </a:xfrm>
        <a:prstGeom prst="rect">
          <a:avLst/>
        </a:prstGeom>
        <a:noFill/>
        <a:ln w="1">
          <a:noFill/>
          <a:miter lim="800000"/>
          <a:headEnd/>
          <a:tailEnd type="none" w="med" len="med"/>
        </a:ln>
        <a:effectLst/>
      </xdr:spPr>
    </xdr:pic>
    <xdr:clientData/>
  </xdr:twoCellAnchor>
  <xdr:twoCellAnchor editAs="oneCell">
    <xdr:from>
      <xdr:col>3</xdr:col>
      <xdr:colOff>9525</xdr:colOff>
      <xdr:row>36</xdr:row>
      <xdr:rowOff>9525</xdr:rowOff>
    </xdr:from>
    <xdr:to>
      <xdr:col>4</xdr:col>
      <xdr:colOff>38100</xdr:colOff>
      <xdr:row>41</xdr:row>
      <xdr:rowOff>75508</xdr:rowOff>
    </xdr:to>
    <xdr:pic>
      <xdr:nvPicPr>
        <xdr:cNvPr id="13334" name="Picture 22"/>
        <xdr:cNvPicPr>
          <a:picLocks noChangeAspect="1" noChangeArrowheads="1"/>
        </xdr:cNvPicPr>
      </xdr:nvPicPr>
      <xdr:blipFill>
        <a:blip r:embed="rId8" cstate="print"/>
        <a:srcRect/>
        <a:stretch>
          <a:fillRect/>
        </a:stretch>
      </xdr:blipFill>
      <xdr:spPr>
        <a:xfrm>
          <a:off x="4743450" y="9222740"/>
          <a:ext cx="1704975" cy="1341755"/>
        </a:xfrm>
        <a:prstGeom prst="rect">
          <a:avLst/>
        </a:prstGeom>
        <a:noFill/>
        <a:ln w="1">
          <a:noFill/>
          <a:miter lim="800000"/>
          <a:headEnd/>
          <a:tailEnd type="none" w="med" len="med"/>
        </a:ln>
        <a:effectLst/>
      </xdr:spPr>
    </xdr:pic>
    <xdr:clientData/>
  </xdr:twoCellAnchor>
  <xdr:twoCellAnchor editAs="oneCell">
    <xdr:from>
      <xdr:col>3</xdr:col>
      <xdr:colOff>9525</xdr:colOff>
      <xdr:row>45</xdr:row>
      <xdr:rowOff>57150</xdr:rowOff>
    </xdr:from>
    <xdr:to>
      <xdr:col>3</xdr:col>
      <xdr:colOff>1323975</xdr:colOff>
      <xdr:row>49</xdr:row>
      <xdr:rowOff>66675</xdr:rowOff>
    </xdr:to>
    <xdr:pic>
      <xdr:nvPicPr>
        <xdr:cNvPr id="40" name="Picture 8"/>
        <xdr:cNvPicPr>
          <a:picLocks noChangeAspect="1" noChangeArrowheads="1"/>
        </xdr:cNvPicPr>
      </xdr:nvPicPr>
      <xdr:blipFill>
        <a:blip r:embed="rId9" cstate="print"/>
        <a:srcRect/>
        <a:stretch>
          <a:fillRect/>
        </a:stretch>
      </xdr:blipFill>
      <xdr:spPr>
        <a:xfrm>
          <a:off x="4743450" y="11567795"/>
          <a:ext cx="1314450" cy="1030605"/>
        </a:xfrm>
        <a:prstGeom prst="rect">
          <a:avLst/>
        </a:prstGeom>
        <a:noFill/>
      </xdr:spPr>
    </xdr:pic>
    <xdr:clientData/>
  </xdr:twoCellAnchor>
  <xdr:twoCellAnchor editAs="oneCell">
    <xdr:from>
      <xdr:col>4</xdr:col>
      <xdr:colOff>561975</xdr:colOff>
      <xdr:row>80</xdr:row>
      <xdr:rowOff>9525</xdr:rowOff>
    </xdr:from>
    <xdr:to>
      <xdr:col>8</xdr:col>
      <xdr:colOff>956786</xdr:colOff>
      <xdr:row>91</xdr:row>
      <xdr:rowOff>57150</xdr:rowOff>
    </xdr:to>
    <xdr:pic>
      <xdr:nvPicPr>
        <xdr:cNvPr id="41" name="Picture 15"/>
        <xdr:cNvPicPr>
          <a:picLocks noChangeAspect="1" noChangeArrowheads="1"/>
        </xdr:cNvPicPr>
      </xdr:nvPicPr>
      <xdr:blipFill>
        <a:blip r:embed="rId5" cstate="print"/>
        <a:srcRect/>
        <a:stretch>
          <a:fillRect/>
        </a:stretch>
      </xdr:blipFill>
      <xdr:spPr>
        <a:xfrm>
          <a:off x="6972300" y="20454620"/>
          <a:ext cx="5404485" cy="2855595"/>
        </a:xfrm>
        <a:prstGeom prst="rect">
          <a:avLst/>
        </a:prstGeom>
        <a:noFill/>
        <a:ln w="1">
          <a:noFill/>
          <a:miter lim="800000"/>
          <a:headEnd/>
          <a:tailEnd type="none" w="med" len="med"/>
        </a:ln>
        <a:effectLst/>
      </xdr:spPr>
    </xdr:pic>
    <xdr:clientData/>
  </xdr:twoCellAnchor>
  <xdr:twoCellAnchor editAs="oneCell">
    <xdr:from>
      <xdr:col>3</xdr:col>
      <xdr:colOff>9525</xdr:colOff>
      <xdr:row>133</xdr:row>
      <xdr:rowOff>19050</xdr:rowOff>
    </xdr:from>
    <xdr:to>
      <xdr:col>3</xdr:col>
      <xdr:colOff>1638300</xdr:colOff>
      <xdr:row>137</xdr:row>
      <xdr:rowOff>0</xdr:rowOff>
    </xdr:to>
    <xdr:pic>
      <xdr:nvPicPr>
        <xdr:cNvPr id="44" name="Picture 17"/>
        <xdr:cNvPicPr>
          <a:picLocks noChangeAspect="1" noChangeArrowheads="1"/>
        </xdr:cNvPicPr>
      </xdr:nvPicPr>
      <xdr:blipFill>
        <a:blip r:embed="rId10" cstate="print"/>
        <a:srcRect/>
        <a:stretch>
          <a:fillRect/>
        </a:stretch>
      </xdr:blipFill>
      <xdr:spPr>
        <a:xfrm>
          <a:off x="4743450" y="33993455"/>
          <a:ext cx="1628775" cy="1002030"/>
        </a:xfrm>
        <a:prstGeom prst="rect">
          <a:avLst/>
        </a:prstGeom>
        <a:noFill/>
        <a:ln w="1">
          <a:noFill/>
          <a:miter lim="800000"/>
          <a:headEnd/>
          <a:tailEnd type="none" w="med" len="med"/>
        </a:ln>
        <a:effectLst/>
      </xdr:spPr>
    </xdr:pic>
    <xdr:clientData/>
  </xdr:twoCellAnchor>
  <xdr:twoCellAnchor editAs="oneCell">
    <xdr:from>
      <xdr:col>3</xdr:col>
      <xdr:colOff>9526</xdr:colOff>
      <xdr:row>128</xdr:row>
      <xdr:rowOff>219076</xdr:rowOff>
    </xdr:from>
    <xdr:to>
      <xdr:col>3</xdr:col>
      <xdr:colOff>1638300</xdr:colOff>
      <xdr:row>132</xdr:row>
      <xdr:rowOff>238125</xdr:rowOff>
    </xdr:to>
    <xdr:pic>
      <xdr:nvPicPr>
        <xdr:cNvPr id="13340" name="Picture 28"/>
        <xdr:cNvPicPr>
          <a:picLocks noChangeAspect="1" noChangeArrowheads="1"/>
        </xdr:cNvPicPr>
      </xdr:nvPicPr>
      <xdr:blipFill>
        <a:blip r:embed="rId11" cstate="print"/>
        <a:srcRect/>
        <a:stretch>
          <a:fillRect/>
        </a:stretch>
      </xdr:blipFill>
      <xdr:spPr>
        <a:xfrm>
          <a:off x="4743450" y="32917130"/>
          <a:ext cx="1628775" cy="1040130"/>
        </a:xfrm>
        <a:prstGeom prst="rect">
          <a:avLst/>
        </a:prstGeom>
        <a:noFill/>
        <a:ln w="1">
          <a:noFill/>
          <a:miter lim="800000"/>
          <a:headEnd/>
          <a:tailEnd type="none" w="med" len="med"/>
        </a:ln>
        <a:effectLst/>
      </xdr:spPr>
    </xdr:pic>
    <xdr:clientData/>
  </xdr:twoCellAnchor>
  <xdr:twoCellAnchor editAs="oneCell">
    <xdr:from>
      <xdr:col>4</xdr:col>
      <xdr:colOff>514350</xdr:colOff>
      <xdr:row>128</xdr:row>
      <xdr:rowOff>9526</xdr:rowOff>
    </xdr:from>
    <xdr:to>
      <xdr:col>8</xdr:col>
      <xdr:colOff>872305</xdr:colOff>
      <xdr:row>138</xdr:row>
      <xdr:rowOff>200026</xdr:rowOff>
    </xdr:to>
    <xdr:pic>
      <xdr:nvPicPr>
        <xdr:cNvPr id="13342" name="Picture 30"/>
        <xdr:cNvPicPr>
          <a:picLocks noChangeAspect="1" noChangeArrowheads="1"/>
        </xdr:cNvPicPr>
      </xdr:nvPicPr>
      <xdr:blipFill>
        <a:blip r:embed="rId12" cstate="print"/>
        <a:srcRect/>
        <a:stretch>
          <a:fillRect/>
        </a:stretch>
      </xdr:blipFill>
      <xdr:spPr>
        <a:xfrm>
          <a:off x="6924675" y="32707580"/>
          <a:ext cx="5367655" cy="2743200"/>
        </a:xfrm>
        <a:prstGeom prst="rect">
          <a:avLst/>
        </a:prstGeom>
        <a:noFill/>
        <a:ln w="1">
          <a:noFill/>
          <a:miter lim="800000"/>
          <a:headEnd/>
          <a:tailEnd type="none" w="med" len="med"/>
        </a:ln>
        <a:effectLst/>
      </xdr:spPr>
    </xdr:pic>
    <xdr:clientData/>
  </xdr:twoCellAnchor>
  <xdr:twoCellAnchor editAs="oneCell">
    <xdr:from>
      <xdr:col>4</xdr:col>
      <xdr:colOff>552450</xdr:colOff>
      <xdr:row>14</xdr:row>
      <xdr:rowOff>247649</xdr:rowOff>
    </xdr:from>
    <xdr:to>
      <xdr:col>9</xdr:col>
      <xdr:colOff>9525</xdr:colOff>
      <xdr:row>29</xdr:row>
      <xdr:rowOff>219074</xdr:rowOff>
    </xdr:to>
    <xdr:pic>
      <xdr:nvPicPr>
        <xdr:cNvPr id="13313" name="Picture 1"/>
        <xdr:cNvPicPr>
          <a:picLocks noChangeAspect="1" noChangeArrowheads="1"/>
        </xdr:cNvPicPr>
      </xdr:nvPicPr>
      <xdr:blipFill>
        <a:blip r:embed="rId13" cstate="print"/>
        <a:srcRect/>
        <a:stretch>
          <a:fillRect/>
        </a:stretch>
      </xdr:blipFill>
      <xdr:spPr>
        <a:xfrm>
          <a:off x="6962775" y="3844290"/>
          <a:ext cx="5800725" cy="3800475"/>
        </a:xfrm>
        <a:prstGeom prst="rect">
          <a:avLst/>
        </a:prstGeom>
        <a:noFill/>
        <a:ln w="1">
          <a:noFill/>
          <a:miter lim="800000"/>
          <a:headEnd/>
          <a:tailEnd type="none" w="med" len="med"/>
        </a:ln>
        <a:effectLst/>
      </xdr:spPr>
    </xdr:pic>
    <xdr:clientData/>
  </xdr:twoCellAnchor>
  <xdr:twoCellAnchor editAs="oneCell">
    <xdr:from>
      <xdr:col>6</xdr:col>
      <xdr:colOff>1676400</xdr:colOff>
      <xdr:row>0</xdr:row>
      <xdr:rowOff>0</xdr:rowOff>
    </xdr:from>
    <xdr:to>
      <xdr:col>8</xdr:col>
      <xdr:colOff>714375</xdr:colOff>
      <xdr:row>8</xdr:row>
      <xdr:rowOff>19050</xdr:rowOff>
    </xdr:to>
    <xdr:pic>
      <xdr:nvPicPr>
        <xdr:cNvPr id="13316" name="Picture 4"/>
        <xdr:cNvPicPr>
          <a:picLocks noChangeAspect="1" noChangeArrowheads="1"/>
        </xdr:cNvPicPr>
      </xdr:nvPicPr>
      <xdr:blipFill>
        <a:blip r:embed="rId14" cstate="print"/>
        <a:srcRect/>
        <a:stretch>
          <a:fillRect/>
        </a:stretch>
      </xdr:blipFill>
      <xdr:spPr>
        <a:xfrm>
          <a:off x="10020300" y="0"/>
          <a:ext cx="2114550" cy="2084705"/>
        </a:xfrm>
        <a:prstGeom prst="rect">
          <a:avLst/>
        </a:prstGeom>
        <a:noFill/>
        <a:ln w="1">
          <a:noFill/>
          <a:miter lim="800000"/>
          <a:headEnd/>
          <a:tailEnd type="none" w="med" len="med"/>
        </a:ln>
        <a:effectLst/>
      </xdr:spPr>
    </xdr:pic>
    <xdr:clientData/>
  </xdr:twoCellAnchor>
  <xdr:twoCellAnchor editAs="oneCell">
    <xdr:from>
      <xdr:col>3</xdr:col>
      <xdr:colOff>9526</xdr:colOff>
      <xdr:row>41</xdr:row>
      <xdr:rowOff>95250</xdr:rowOff>
    </xdr:from>
    <xdr:to>
      <xdr:col>4</xdr:col>
      <xdr:colOff>125242</xdr:colOff>
      <xdr:row>44</xdr:row>
      <xdr:rowOff>238125</xdr:rowOff>
    </xdr:to>
    <xdr:pic>
      <xdr:nvPicPr>
        <xdr:cNvPr id="18" name="Picture 26"/>
        <xdr:cNvPicPr>
          <a:picLocks noChangeAspect="1" noChangeArrowheads="1"/>
        </xdr:cNvPicPr>
      </xdr:nvPicPr>
      <xdr:blipFill>
        <a:blip r:embed="rId15" cstate="print"/>
        <a:srcRect/>
        <a:stretch>
          <a:fillRect/>
        </a:stretch>
      </xdr:blipFill>
      <xdr:spPr>
        <a:xfrm>
          <a:off x="4743450" y="10584815"/>
          <a:ext cx="1791970" cy="908685"/>
        </a:xfrm>
        <a:prstGeom prst="rect">
          <a:avLst/>
        </a:prstGeom>
        <a:noFill/>
        <a:ln w="1">
          <a:noFill/>
          <a:miter lim="800000"/>
          <a:headEnd/>
          <a:tailEnd type="none" w="med" len="med"/>
        </a:ln>
        <a:effectLst/>
      </xdr:spPr>
    </xdr:pic>
    <xdr:clientData/>
  </xdr:twoCellAnchor>
  <xdr:twoCellAnchor>
    <xdr:from>
      <xdr:col>3</xdr:col>
      <xdr:colOff>276225</xdr:colOff>
      <xdr:row>8</xdr:row>
      <xdr:rowOff>19050</xdr:rowOff>
    </xdr:from>
    <xdr:to>
      <xdr:col>3</xdr:col>
      <xdr:colOff>590550</xdr:colOff>
      <xdr:row>8</xdr:row>
      <xdr:rowOff>123825</xdr:rowOff>
    </xdr:to>
    <xdr:cxnSp>
      <xdr:nvCxnSpPr>
        <xdr:cNvPr id="20" name="直接箭头连接符 19"/>
        <xdr:cNvCxnSpPr/>
      </xdr:nvCxnSpPr>
      <xdr:spPr>
        <a:xfrm flipV="1">
          <a:off x="5010150" y="2084705"/>
          <a:ext cx="314325" cy="1047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9525</xdr:colOff>
      <xdr:row>0</xdr:row>
      <xdr:rowOff>19050</xdr:rowOff>
    </xdr:from>
    <xdr:to>
      <xdr:col>0</xdr:col>
      <xdr:colOff>819151</xdr:colOff>
      <xdr:row>0</xdr:row>
      <xdr:rowOff>257175</xdr:rowOff>
    </xdr:to>
    <xdr:sp>
      <xdr:nvSpPr>
        <xdr:cNvPr id="19" name="五边形 18">
          <a:hlinkClick xmlns:r="http://schemas.openxmlformats.org/officeDocument/2006/relationships" r:id="rId16"/>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31.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9526</xdr:colOff>
      <xdr:row>2</xdr:row>
      <xdr:rowOff>76200</xdr:rowOff>
    </xdr:from>
    <xdr:to>
      <xdr:col>4</xdr:col>
      <xdr:colOff>0</xdr:colOff>
      <xdr:row>8</xdr:row>
      <xdr:rowOff>0</xdr:rowOff>
    </xdr:to>
    <xdr:pic>
      <xdr:nvPicPr>
        <xdr:cNvPr id="15361" name="Picture 1"/>
        <xdr:cNvPicPr>
          <a:picLocks noChangeAspect="1" noChangeArrowheads="1"/>
        </xdr:cNvPicPr>
      </xdr:nvPicPr>
      <xdr:blipFill>
        <a:blip r:embed="rId1" cstate="print"/>
        <a:srcRect/>
        <a:stretch>
          <a:fillRect/>
        </a:stretch>
      </xdr:blipFill>
      <xdr:spPr>
        <a:xfrm>
          <a:off x="4743450" y="610235"/>
          <a:ext cx="1666875" cy="1455420"/>
        </a:xfrm>
        <a:prstGeom prst="rect">
          <a:avLst/>
        </a:prstGeom>
        <a:noFill/>
        <a:ln w="1">
          <a:noFill/>
          <a:miter lim="800000"/>
          <a:headEnd/>
          <a:tailEnd type="none" w="med" len="med"/>
        </a:ln>
        <a:effectLst/>
      </xdr:spPr>
    </xdr:pic>
    <xdr:clientData/>
  </xdr:twoCellAnchor>
  <xdr:twoCellAnchor editAs="oneCell">
    <xdr:from>
      <xdr:col>21</xdr:col>
      <xdr:colOff>523875</xdr:colOff>
      <xdr:row>2</xdr:row>
      <xdr:rowOff>200025</xdr:rowOff>
    </xdr:from>
    <xdr:to>
      <xdr:col>27</xdr:col>
      <xdr:colOff>419100</xdr:colOff>
      <xdr:row>8</xdr:row>
      <xdr:rowOff>47625</xdr:rowOff>
    </xdr:to>
    <xdr:pic>
      <xdr:nvPicPr>
        <xdr:cNvPr id="15362" name="Picture 2"/>
        <xdr:cNvPicPr>
          <a:picLocks noChangeAspect="1" noChangeArrowheads="1"/>
        </xdr:cNvPicPr>
      </xdr:nvPicPr>
      <xdr:blipFill>
        <a:blip r:embed="rId2" cstate="print"/>
        <a:srcRect/>
        <a:stretch>
          <a:fillRect/>
        </a:stretch>
      </xdr:blipFill>
      <xdr:spPr>
        <a:xfrm>
          <a:off x="21307425" y="734060"/>
          <a:ext cx="3838575" cy="1379220"/>
        </a:xfrm>
        <a:prstGeom prst="rect">
          <a:avLst/>
        </a:prstGeom>
        <a:noFill/>
        <a:ln w="1">
          <a:noFill/>
          <a:miter lim="800000"/>
          <a:headEnd/>
          <a:tailEnd type="none" w="med" len="med"/>
        </a:ln>
        <a:effectLst/>
      </xdr:spPr>
    </xdr:pic>
    <xdr:clientData/>
  </xdr:twoCellAnchor>
  <xdr:twoCellAnchor editAs="oneCell">
    <xdr:from>
      <xdr:col>8</xdr:col>
      <xdr:colOff>66676</xdr:colOff>
      <xdr:row>2</xdr:row>
      <xdr:rowOff>38101</xdr:rowOff>
    </xdr:from>
    <xdr:to>
      <xdr:col>13</xdr:col>
      <xdr:colOff>17538</xdr:colOff>
      <xdr:row>10</xdr:row>
      <xdr:rowOff>38101</xdr:rowOff>
    </xdr:to>
    <xdr:pic>
      <xdr:nvPicPr>
        <xdr:cNvPr id="15363" name="Picture 3"/>
        <xdr:cNvPicPr>
          <a:picLocks noChangeAspect="1" noChangeArrowheads="1"/>
        </xdr:cNvPicPr>
      </xdr:nvPicPr>
      <xdr:blipFill>
        <a:blip r:embed="rId3" cstate="print"/>
        <a:srcRect/>
        <a:stretch>
          <a:fillRect/>
        </a:stretch>
      </xdr:blipFill>
      <xdr:spPr>
        <a:xfrm>
          <a:off x="10848975" y="572135"/>
          <a:ext cx="3950970" cy="2042160"/>
        </a:xfrm>
        <a:prstGeom prst="rect">
          <a:avLst/>
        </a:prstGeom>
        <a:noFill/>
        <a:ln w="1">
          <a:noFill/>
          <a:miter lim="800000"/>
          <a:headEnd/>
          <a:tailEnd type="none" w="med" len="med"/>
        </a:ln>
        <a:effectLst/>
      </xdr:spPr>
    </xdr:pic>
    <xdr:clientData/>
  </xdr:twoCellAnchor>
  <xdr:twoCellAnchor editAs="oneCell">
    <xdr:from>
      <xdr:col>5</xdr:col>
      <xdr:colOff>0</xdr:colOff>
      <xdr:row>25</xdr:row>
      <xdr:rowOff>9526</xdr:rowOff>
    </xdr:from>
    <xdr:to>
      <xdr:col>9</xdr:col>
      <xdr:colOff>695325</xdr:colOff>
      <xdr:row>45</xdr:row>
      <xdr:rowOff>122760</xdr:rowOff>
    </xdr:to>
    <xdr:pic>
      <xdr:nvPicPr>
        <xdr:cNvPr id="15364" name="Picture 4"/>
        <xdr:cNvPicPr>
          <a:picLocks noChangeAspect="1" noChangeArrowheads="1"/>
        </xdr:cNvPicPr>
      </xdr:nvPicPr>
      <xdr:blipFill>
        <a:blip r:embed="rId4" cstate="print"/>
        <a:srcRect/>
        <a:stretch>
          <a:fillRect/>
        </a:stretch>
      </xdr:blipFill>
      <xdr:spPr>
        <a:xfrm>
          <a:off x="6819900" y="6414770"/>
          <a:ext cx="5991225" cy="5218430"/>
        </a:xfrm>
        <a:prstGeom prst="rect">
          <a:avLst/>
        </a:prstGeom>
        <a:noFill/>
        <a:ln w="1">
          <a:noFill/>
          <a:miter lim="800000"/>
          <a:headEnd/>
          <a:tailEnd type="none" w="med" len="med"/>
        </a:ln>
        <a:effectLst/>
      </xdr:spPr>
    </xdr:pic>
    <xdr:clientData/>
  </xdr:twoCellAnchor>
  <xdr:twoCellAnchor editAs="oneCell">
    <xdr:from>
      <xdr:col>5</xdr:col>
      <xdr:colOff>9525</xdr:colOff>
      <xdr:row>2</xdr:row>
      <xdr:rowOff>9526</xdr:rowOff>
    </xdr:from>
    <xdr:to>
      <xdr:col>7</xdr:col>
      <xdr:colOff>1003806</xdr:colOff>
      <xdr:row>15</xdr:row>
      <xdr:rowOff>76200</xdr:rowOff>
    </xdr:to>
    <xdr:pic>
      <xdr:nvPicPr>
        <xdr:cNvPr id="15365" name="Picture 5"/>
        <xdr:cNvPicPr>
          <a:picLocks noChangeAspect="1" noChangeArrowheads="1"/>
        </xdr:cNvPicPr>
      </xdr:nvPicPr>
      <xdr:blipFill>
        <a:blip r:embed="rId5" cstate="print">
          <a:lum bright="-20000" contrast="30000"/>
        </a:blip>
        <a:srcRect/>
        <a:stretch>
          <a:fillRect/>
        </a:stretch>
      </xdr:blipFill>
      <xdr:spPr>
        <a:xfrm>
          <a:off x="6829425" y="543560"/>
          <a:ext cx="3908425" cy="3385185"/>
        </a:xfrm>
        <a:prstGeom prst="rect">
          <a:avLst/>
        </a:prstGeom>
        <a:noFill/>
        <a:ln w="1">
          <a:noFill/>
          <a:miter lim="800000"/>
          <a:headEnd/>
          <a:tailEnd type="none" w="med" len="med"/>
        </a:ln>
        <a:effectLst/>
      </xdr:spPr>
    </xdr:pic>
    <xdr:clientData/>
  </xdr:twoCellAnchor>
  <xdr:twoCellAnchor editAs="oneCell">
    <xdr:from>
      <xdr:col>13</xdr:col>
      <xdr:colOff>0</xdr:colOff>
      <xdr:row>213</xdr:row>
      <xdr:rowOff>0</xdr:rowOff>
    </xdr:from>
    <xdr:to>
      <xdr:col>19</xdr:col>
      <xdr:colOff>9525</xdr:colOff>
      <xdr:row>228</xdr:row>
      <xdr:rowOff>123825</xdr:rowOff>
    </xdr:to>
    <xdr:pic>
      <xdr:nvPicPr>
        <xdr:cNvPr id="15369" name="Picture 9"/>
        <xdr:cNvPicPr>
          <a:picLocks noChangeAspect="1" noChangeArrowheads="1"/>
        </xdr:cNvPicPr>
      </xdr:nvPicPr>
      <xdr:blipFill>
        <a:blip r:embed="rId6" cstate="print"/>
        <a:srcRect/>
        <a:stretch>
          <a:fillRect/>
        </a:stretch>
      </xdr:blipFill>
      <xdr:spPr>
        <a:xfrm>
          <a:off x="14782800" y="54396005"/>
          <a:ext cx="4543425" cy="3952875"/>
        </a:xfrm>
        <a:prstGeom prst="rect">
          <a:avLst/>
        </a:prstGeom>
        <a:noFill/>
        <a:ln w="1">
          <a:noFill/>
          <a:miter lim="800000"/>
          <a:headEnd/>
          <a:tailEnd type="none" w="med" len="med"/>
        </a:ln>
        <a:effectLst/>
      </xdr:spPr>
    </xdr:pic>
    <xdr:clientData/>
  </xdr:twoCellAnchor>
  <xdr:twoCellAnchor editAs="oneCell">
    <xdr:from>
      <xdr:col>5</xdr:col>
      <xdr:colOff>0</xdr:colOff>
      <xdr:row>17</xdr:row>
      <xdr:rowOff>0</xdr:rowOff>
    </xdr:from>
    <xdr:to>
      <xdr:col>8</xdr:col>
      <xdr:colOff>1294409</xdr:colOff>
      <xdr:row>23</xdr:row>
      <xdr:rowOff>95249</xdr:rowOff>
    </xdr:to>
    <xdr:pic>
      <xdr:nvPicPr>
        <xdr:cNvPr id="15371" name="Picture 11"/>
        <xdr:cNvPicPr>
          <a:picLocks noChangeAspect="1" noChangeArrowheads="1"/>
        </xdr:cNvPicPr>
      </xdr:nvPicPr>
      <xdr:blipFill>
        <a:blip r:embed="rId7" cstate="print"/>
        <a:srcRect/>
        <a:stretch>
          <a:fillRect/>
        </a:stretch>
      </xdr:blipFill>
      <xdr:spPr>
        <a:xfrm>
          <a:off x="6819900" y="4363085"/>
          <a:ext cx="5256530" cy="1626235"/>
        </a:xfrm>
        <a:prstGeom prst="rect">
          <a:avLst/>
        </a:prstGeom>
        <a:noFill/>
        <a:ln w="1">
          <a:noFill/>
          <a:miter lim="800000"/>
          <a:headEnd/>
          <a:tailEnd type="none" w="med" len="med"/>
        </a:ln>
        <a:effectLst/>
      </xdr:spPr>
    </xdr:pic>
    <xdr:clientData/>
  </xdr:twoCellAnchor>
  <xdr:twoCellAnchor editAs="oneCell">
    <xdr:from>
      <xdr:col>17</xdr:col>
      <xdr:colOff>257735</xdr:colOff>
      <xdr:row>42</xdr:row>
      <xdr:rowOff>100852</xdr:rowOff>
    </xdr:from>
    <xdr:to>
      <xdr:col>28</xdr:col>
      <xdr:colOff>3362</xdr:colOff>
      <xdr:row>53</xdr:row>
      <xdr:rowOff>119903</xdr:rowOff>
    </xdr:to>
    <xdr:pic>
      <xdr:nvPicPr>
        <xdr:cNvPr id="15374" name="Picture 14"/>
        <xdr:cNvPicPr>
          <a:picLocks noChangeAspect="1" noChangeArrowheads="1"/>
        </xdr:cNvPicPr>
      </xdr:nvPicPr>
      <xdr:blipFill>
        <a:blip r:embed="rId8" cstate="print"/>
        <a:srcRect/>
        <a:stretch>
          <a:fillRect/>
        </a:stretch>
      </xdr:blipFill>
      <xdr:spPr>
        <a:xfrm>
          <a:off x="17954625" y="10845165"/>
          <a:ext cx="7966075" cy="2827020"/>
        </a:xfrm>
        <a:prstGeom prst="rect">
          <a:avLst/>
        </a:prstGeom>
        <a:noFill/>
        <a:ln w="1">
          <a:noFill/>
          <a:miter lim="800000"/>
          <a:headEnd/>
          <a:tailEnd type="none" w="med" len="med"/>
        </a:ln>
        <a:effectLst/>
      </xdr:spPr>
    </xdr:pic>
    <xdr:clientData/>
  </xdr:twoCellAnchor>
  <xdr:twoCellAnchor>
    <xdr:from>
      <xdr:col>5</xdr:col>
      <xdr:colOff>447675</xdr:colOff>
      <xdr:row>39</xdr:row>
      <xdr:rowOff>209551</xdr:rowOff>
    </xdr:from>
    <xdr:to>
      <xdr:col>5</xdr:col>
      <xdr:colOff>647700</xdr:colOff>
      <xdr:row>41</xdr:row>
      <xdr:rowOff>142875</xdr:rowOff>
    </xdr:to>
    <xdr:cxnSp>
      <xdr:nvCxnSpPr>
        <xdr:cNvPr id="33" name="直接箭头连接符 32"/>
        <xdr:cNvCxnSpPr/>
      </xdr:nvCxnSpPr>
      <xdr:spPr>
        <a:xfrm flipV="1">
          <a:off x="7267575" y="10188575"/>
          <a:ext cx="200025" cy="443865"/>
        </a:xfrm>
        <a:prstGeom prst="straightConnector1">
          <a:avLst/>
        </a:prstGeom>
        <a:ln>
          <a:tailEnd type="arrow"/>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647700</xdr:colOff>
      <xdr:row>29</xdr:row>
      <xdr:rowOff>114300</xdr:rowOff>
    </xdr:from>
    <xdr:to>
      <xdr:col>6</xdr:col>
      <xdr:colOff>847725</xdr:colOff>
      <xdr:row>31</xdr:row>
      <xdr:rowOff>47624</xdr:rowOff>
    </xdr:to>
    <xdr:cxnSp>
      <xdr:nvCxnSpPr>
        <xdr:cNvPr id="35" name="直接箭头连接符 34"/>
        <xdr:cNvCxnSpPr/>
      </xdr:nvCxnSpPr>
      <xdr:spPr>
        <a:xfrm flipV="1">
          <a:off x="8562975" y="7540625"/>
          <a:ext cx="200025" cy="443230"/>
        </a:xfrm>
        <a:prstGeom prst="straightConnector1">
          <a:avLst/>
        </a:prstGeom>
        <a:ln>
          <a:tailEnd type="arrow"/>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6</xdr:col>
      <xdr:colOff>647700</xdr:colOff>
      <xdr:row>38</xdr:row>
      <xdr:rowOff>76201</xdr:rowOff>
    </xdr:from>
    <xdr:to>
      <xdr:col>6</xdr:col>
      <xdr:colOff>847725</xdr:colOff>
      <xdr:row>40</xdr:row>
      <xdr:rowOff>9525</xdr:rowOff>
    </xdr:to>
    <xdr:cxnSp>
      <xdr:nvCxnSpPr>
        <xdr:cNvPr id="36" name="直接箭头连接符 35"/>
        <xdr:cNvCxnSpPr/>
      </xdr:nvCxnSpPr>
      <xdr:spPr>
        <a:xfrm flipV="1">
          <a:off x="8562975" y="9799955"/>
          <a:ext cx="200025" cy="443865"/>
        </a:xfrm>
        <a:prstGeom prst="straightConnector1">
          <a:avLst/>
        </a:prstGeom>
        <a:ln>
          <a:tailEnd type="arrow"/>
        </a:ln>
      </xdr:spPr>
      <xdr:style>
        <a:lnRef idx="3">
          <a:schemeClr val="accent6"/>
        </a:lnRef>
        <a:fillRef idx="0">
          <a:schemeClr val="accent6"/>
        </a:fillRef>
        <a:effectRef idx="2">
          <a:schemeClr val="accent6"/>
        </a:effectRef>
        <a:fontRef idx="minor">
          <a:schemeClr val="tx1"/>
        </a:fontRef>
      </xdr:style>
    </xdr:cxnSp>
    <xdr:clientData/>
  </xdr:twoCellAnchor>
  <xdr:twoCellAnchor editAs="oneCell">
    <xdr:from>
      <xdr:col>5</xdr:col>
      <xdr:colOff>9526</xdr:colOff>
      <xdr:row>47</xdr:row>
      <xdr:rowOff>0</xdr:rowOff>
    </xdr:from>
    <xdr:to>
      <xdr:col>10</xdr:col>
      <xdr:colOff>457200</xdr:colOff>
      <xdr:row>50</xdr:row>
      <xdr:rowOff>100245</xdr:rowOff>
    </xdr:to>
    <xdr:pic>
      <xdr:nvPicPr>
        <xdr:cNvPr id="15377" name="Picture 17"/>
        <xdr:cNvPicPr>
          <a:picLocks noChangeAspect="1" noChangeArrowheads="1"/>
        </xdr:cNvPicPr>
      </xdr:nvPicPr>
      <xdr:blipFill>
        <a:blip r:embed="rId9" cstate="print"/>
        <a:srcRect/>
        <a:stretch>
          <a:fillRect/>
        </a:stretch>
      </xdr:blipFill>
      <xdr:spPr>
        <a:xfrm>
          <a:off x="6829425" y="12021185"/>
          <a:ext cx="6505575" cy="865505"/>
        </a:xfrm>
        <a:prstGeom prst="rect">
          <a:avLst/>
        </a:prstGeom>
        <a:noFill/>
        <a:ln w="1">
          <a:noFill/>
          <a:miter lim="800000"/>
          <a:headEnd/>
          <a:tailEnd type="none" w="med" len="med"/>
        </a:ln>
        <a:effectLst/>
      </xdr:spPr>
    </xdr:pic>
    <xdr:clientData/>
  </xdr:twoCellAnchor>
  <xdr:twoCellAnchor editAs="oneCell">
    <xdr:from>
      <xdr:col>3</xdr:col>
      <xdr:colOff>11207</xdr:colOff>
      <xdr:row>25</xdr:row>
      <xdr:rowOff>11206</xdr:rowOff>
    </xdr:from>
    <xdr:to>
      <xdr:col>3</xdr:col>
      <xdr:colOff>1666875</xdr:colOff>
      <xdr:row>31</xdr:row>
      <xdr:rowOff>0</xdr:rowOff>
    </xdr:to>
    <xdr:pic>
      <xdr:nvPicPr>
        <xdr:cNvPr id="2" name="Picture 1"/>
        <xdr:cNvPicPr>
          <a:picLocks noChangeAspect="1" noChangeArrowheads="1"/>
        </xdr:cNvPicPr>
      </xdr:nvPicPr>
      <xdr:blipFill>
        <a:blip r:embed="rId10" cstate="print"/>
        <a:srcRect/>
        <a:stretch>
          <a:fillRect/>
        </a:stretch>
      </xdr:blipFill>
      <xdr:spPr>
        <a:xfrm>
          <a:off x="4744720" y="6416040"/>
          <a:ext cx="1656080" cy="1520825"/>
        </a:xfrm>
        <a:prstGeom prst="rect">
          <a:avLst/>
        </a:prstGeom>
        <a:noFill/>
        <a:ln w="1">
          <a:noFill/>
          <a:miter lim="800000"/>
          <a:headEnd/>
          <a:tailEnd type="none" w="med" len="med"/>
        </a:ln>
        <a:effectLst/>
      </xdr:spPr>
    </xdr:pic>
    <xdr:clientData/>
  </xdr:twoCellAnchor>
  <xdr:twoCellAnchor editAs="oneCell">
    <xdr:from>
      <xdr:col>3</xdr:col>
      <xdr:colOff>9525</xdr:colOff>
      <xdr:row>52</xdr:row>
      <xdr:rowOff>9525</xdr:rowOff>
    </xdr:from>
    <xdr:to>
      <xdr:col>3</xdr:col>
      <xdr:colOff>1668236</xdr:colOff>
      <xdr:row>56</xdr:row>
      <xdr:rowOff>114300</xdr:rowOff>
    </xdr:to>
    <xdr:pic>
      <xdr:nvPicPr>
        <xdr:cNvPr id="3" name="Picture 2"/>
        <xdr:cNvPicPr>
          <a:picLocks noChangeAspect="1" noChangeArrowheads="1"/>
        </xdr:cNvPicPr>
      </xdr:nvPicPr>
      <xdr:blipFill>
        <a:blip r:embed="rId11" cstate="print"/>
        <a:srcRect/>
        <a:stretch>
          <a:fillRect/>
        </a:stretch>
      </xdr:blipFill>
      <xdr:spPr>
        <a:xfrm>
          <a:off x="4743450" y="13307060"/>
          <a:ext cx="1658620" cy="1125855"/>
        </a:xfrm>
        <a:prstGeom prst="rect">
          <a:avLst/>
        </a:prstGeom>
        <a:noFill/>
        <a:ln w="1">
          <a:noFill/>
          <a:miter lim="800000"/>
          <a:headEnd/>
          <a:tailEnd type="none" w="med" len="med"/>
        </a:ln>
        <a:effectLst/>
      </xdr:spPr>
    </xdr:pic>
    <xdr:clientData/>
  </xdr:twoCellAnchor>
  <xdr:twoCellAnchor editAs="oneCell">
    <xdr:from>
      <xdr:col>5</xdr:col>
      <xdr:colOff>9525</xdr:colOff>
      <xdr:row>51</xdr:row>
      <xdr:rowOff>9525</xdr:rowOff>
    </xdr:from>
    <xdr:to>
      <xdr:col>8</xdr:col>
      <xdr:colOff>1176647</xdr:colOff>
      <xdr:row>60</xdr:row>
      <xdr:rowOff>104775</xdr:rowOff>
    </xdr:to>
    <xdr:pic>
      <xdr:nvPicPr>
        <xdr:cNvPr id="30" name="内容占位符 2"/>
        <xdr:cNvPicPr>
          <a:picLocks noGrp="1" noChangeAspect="1"/>
        </xdr:cNvPicPr>
      </xdr:nvPicPr>
      <xdr:blipFill>
        <a:blip r:embed="rId12" cstate="print"/>
        <a:stretch>
          <a:fillRect/>
        </a:stretch>
      </xdr:blipFill>
      <xdr:spPr>
        <a:xfrm>
          <a:off x="6829425" y="13051790"/>
          <a:ext cx="5128895" cy="2392680"/>
        </a:xfrm>
        <a:prstGeom prst="rect">
          <a:avLst/>
        </a:prstGeom>
        <a:noFill/>
        <a:ln w="9525">
          <a:noFill/>
        </a:ln>
      </xdr:spPr>
    </xdr:pic>
    <xdr:clientData/>
  </xdr:twoCellAnchor>
  <xdr:oneCellAnchor>
    <xdr:from>
      <xdr:col>3</xdr:col>
      <xdr:colOff>200025</xdr:colOff>
      <xdr:row>25</xdr:row>
      <xdr:rowOff>190500</xdr:rowOff>
    </xdr:from>
    <xdr:ext cx="626197" cy="311496"/>
    <xdr:sp>
      <xdr:nvSpPr>
        <xdr:cNvPr id="39" name="TextBox 38"/>
        <xdr:cNvSpPr txBox="1"/>
      </xdr:nvSpPr>
      <xdr:spPr>
        <a:xfrm>
          <a:off x="4933950" y="6595745"/>
          <a:ext cx="626110" cy="3111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400"/>
            <a:t>Z2  d2</a:t>
          </a:r>
          <a:endParaRPr lang="zh-CN" altLang="en-US" sz="1400"/>
        </a:p>
      </xdr:txBody>
    </xdr:sp>
    <xdr:clientData/>
  </xdr:oneCellAnchor>
  <xdr:oneCellAnchor>
    <xdr:from>
      <xdr:col>3</xdr:col>
      <xdr:colOff>19050</xdr:colOff>
      <xdr:row>27</xdr:row>
      <xdr:rowOff>28575</xdr:rowOff>
    </xdr:from>
    <xdr:ext cx="626197" cy="311496"/>
    <xdr:sp>
      <xdr:nvSpPr>
        <xdr:cNvPr id="40" name="TextBox 39"/>
        <xdr:cNvSpPr txBox="1"/>
      </xdr:nvSpPr>
      <xdr:spPr>
        <a:xfrm>
          <a:off x="4752975" y="6944360"/>
          <a:ext cx="626110" cy="3111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400"/>
            <a:t>Z1  d1</a:t>
          </a:r>
          <a:endParaRPr lang="zh-CN" altLang="en-US" sz="1400"/>
        </a:p>
      </xdr:txBody>
    </xdr:sp>
    <xdr:clientData/>
  </xdr:oneCellAnchor>
  <xdr:twoCellAnchor editAs="oneCell">
    <xdr:from>
      <xdr:col>5</xdr:col>
      <xdr:colOff>9525</xdr:colOff>
      <xdr:row>61</xdr:row>
      <xdr:rowOff>28575</xdr:rowOff>
    </xdr:from>
    <xdr:to>
      <xdr:col>6</xdr:col>
      <xdr:colOff>1028700</xdr:colOff>
      <xdr:row>69</xdr:row>
      <xdr:rowOff>76200</xdr:rowOff>
    </xdr:to>
    <xdr:pic>
      <xdr:nvPicPr>
        <xdr:cNvPr id="41" name="Picture 4"/>
        <xdr:cNvPicPr>
          <a:picLocks noChangeAspect="1" noChangeArrowheads="1"/>
        </xdr:cNvPicPr>
      </xdr:nvPicPr>
      <xdr:blipFill>
        <a:blip r:embed="rId13" cstate="print"/>
        <a:srcRect/>
        <a:stretch>
          <a:fillRect/>
        </a:stretch>
      </xdr:blipFill>
      <xdr:spPr>
        <a:xfrm>
          <a:off x="6829425" y="15623540"/>
          <a:ext cx="2114550" cy="2089785"/>
        </a:xfrm>
        <a:prstGeom prst="rect">
          <a:avLst/>
        </a:prstGeom>
        <a:noFill/>
        <a:ln w="1">
          <a:noFill/>
          <a:miter lim="800000"/>
          <a:headEnd/>
          <a:tailEnd type="none" w="med" len="med"/>
        </a:ln>
        <a:effectLst/>
      </xdr:spPr>
    </xdr:pic>
    <xdr:clientData/>
  </xdr:twoCellAnchor>
  <xdr:twoCellAnchor>
    <xdr:from>
      <xdr:col>8</xdr:col>
      <xdr:colOff>47625</xdr:colOff>
      <xdr:row>53</xdr:row>
      <xdr:rowOff>114300</xdr:rowOff>
    </xdr:from>
    <xdr:to>
      <xdr:col>8</xdr:col>
      <xdr:colOff>476250</xdr:colOff>
      <xdr:row>53</xdr:row>
      <xdr:rowOff>114300</xdr:rowOff>
    </xdr:to>
    <xdr:cxnSp>
      <xdr:nvCxnSpPr>
        <xdr:cNvPr id="43" name="直接箭头连接符 42"/>
        <xdr:cNvCxnSpPr/>
      </xdr:nvCxnSpPr>
      <xdr:spPr>
        <a:xfrm>
          <a:off x="10829925" y="13667105"/>
          <a:ext cx="428625" cy="0"/>
        </a:xfrm>
        <a:prstGeom prst="straightConnector1">
          <a:avLst/>
        </a:prstGeom>
        <a:ln>
          <a:tailEnd type="arrow"/>
        </a:ln>
      </xdr:spPr>
      <xdr:style>
        <a:lnRef idx="2">
          <a:schemeClr val="dk1"/>
        </a:lnRef>
        <a:fillRef idx="0">
          <a:schemeClr val="dk1"/>
        </a:fillRef>
        <a:effectRef idx="1">
          <a:schemeClr val="dk1"/>
        </a:effectRef>
        <a:fontRef idx="minor">
          <a:schemeClr val="tx1"/>
        </a:fontRef>
      </xdr:style>
    </xdr:cxnSp>
    <xdr:clientData/>
  </xdr:twoCellAnchor>
  <xdr:oneCellAnchor>
    <xdr:from>
      <xdr:col>8</xdr:col>
      <xdr:colOff>447675</xdr:colOff>
      <xdr:row>52</xdr:row>
      <xdr:rowOff>219075</xdr:rowOff>
    </xdr:from>
    <xdr:ext cx="599203" cy="275717"/>
    <xdr:sp>
      <xdr:nvSpPr>
        <xdr:cNvPr id="44" name="TextBox 43"/>
        <xdr:cNvSpPr txBox="1"/>
      </xdr:nvSpPr>
      <xdr:spPr>
        <a:xfrm>
          <a:off x="11229975" y="13516610"/>
          <a:ext cx="598805" cy="2755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100" b="1"/>
            <a:t>外力</a:t>
          </a:r>
          <a:r>
            <a:rPr lang="en-US" altLang="zh-CN" sz="1100" b="1"/>
            <a:t>Fa</a:t>
          </a:r>
          <a:endParaRPr lang="zh-CN" altLang="en-US" sz="1100" b="1"/>
        </a:p>
      </xdr:txBody>
    </xdr:sp>
    <xdr:clientData/>
  </xdr:oneCellAnchor>
  <xdr:twoCellAnchor>
    <xdr:from>
      <xdr:col>5</xdr:col>
      <xdr:colOff>771525</xdr:colOff>
      <xdr:row>54</xdr:row>
      <xdr:rowOff>114300</xdr:rowOff>
    </xdr:from>
    <xdr:to>
      <xdr:col>6</xdr:col>
      <xdr:colOff>9525</xdr:colOff>
      <xdr:row>54</xdr:row>
      <xdr:rowOff>114300</xdr:rowOff>
    </xdr:to>
    <xdr:cxnSp>
      <xdr:nvCxnSpPr>
        <xdr:cNvPr id="46" name="直接连接符 45"/>
        <xdr:cNvCxnSpPr/>
      </xdr:nvCxnSpPr>
      <xdr:spPr>
        <a:xfrm>
          <a:off x="7591425" y="13922375"/>
          <a:ext cx="333375" cy="0"/>
        </a:xfrm>
        <a:prstGeom prst="line">
          <a:avLst/>
        </a:prstGeom>
        <a:ln>
          <a:solidFill>
            <a:srgbClr val="FF0000"/>
          </a:solidFill>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19050</xdr:colOff>
      <xdr:row>52</xdr:row>
      <xdr:rowOff>180975</xdr:rowOff>
    </xdr:from>
    <xdr:to>
      <xdr:col>6</xdr:col>
      <xdr:colOff>352425</xdr:colOff>
      <xdr:row>52</xdr:row>
      <xdr:rowOff>180975</xdr:rowOff>
    </xdr:to>
    <xdr:cxnSp>
      <xdr:nvCxnSpPr>
        <xdr:cNvPr id="47" name="直接连接符 46"/>
        <xdr:cNvCxnSpPr/>
      </xdr:nvCxnSpPr>
      <xdr:spPr>
        <a:xfrm>
          <a:off x="7934325" y="13478510"/>
          <a:ext cx="333375" cy="0"/>
        </a:xfrm>
        <a:prstGeom prst="line">
          <a:avLst/>
        </a:prstGeom>
        <a:ln>
          <a:solidFill>
            <a:srgbClr val="FF0000"/>
          </a:solidFill>
        </a:ln>
      </xdr:spPr>
      <xdr:style>
        <a:lnRef idx="3">
          <a:schemeClr val="accent2"/>
        </a:lnRef>
        <a:fillRef idx="0">
          <a:schemeClr val="accent2"/>
        </a:fillRef>
        <a:effectRef idx="2">
          <a:schemeClr val="accent2"/>
        </a:effectRef>
        <a:fontRef idx="minor">
          <a:schemeClr val="tx1"/>
        </a:fontRef>
      </xdr:style>
    </xdr:cxnSp>
    <xdr:clientData/>
  </xdr:twoCellAnchor>
  <xdr:oneCellAnchor>
    <xdr:from>
      <xdr:col>6</xdr:col>
      <xdr:colOff>1257300</xdr:colOff>
      <xdr:row>26</xdr:row>
      <xdr:rowOff>47625</xdr:rowOff>
    </xdr:from>
    <xdr:ext cx="2018501" cy="275717"/>
    <xdr:sp>
      <xdr:nvSpPr>
        <xdr:cNvPr id="48" name="TextBox 47"/>
        <xdr:cNvSpPr txBox="1"/>
      </xdr:nvSpPr>
      <xdr:spPr>
        <a:xfrm>
          <a:off x="9172575" y="6708140"/>
          <a:ext cx="2018030" cy="2755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100">
              <a:solidFill>
                <a:srgbClr val="FF0000"/>
              </a:solidFill>
            </a:rPr>
            <a:t>注：本表为分割器输出轴转矩</a:t>
          </a:r>
          <a:endParaRPr lang="zh-CN" altLang="en-US" sz="1100">
            <a:solidFill>
              <a:srgbClr val="FF0000"/>
            </a:solidFill>
          </a:endParaRPr>
        </a:p>
      </xdr:txBody>
    </xdr:sp>
    <xdr:clientData/>
  </xdr:oneCellAnchor>
  <xdr:twoCellAnchor editAs="oneCell">
    <xdr:from>
      <xdr:col>3</xdr:col>
      <xdr:colOff>9526</xdr:colOff>
      <xdr:row>94</xdr:row>
      <xdr:rowOff>9525</xdr:rowOff>
    </xdr:from>
    <xdr:to>
      <xdr:col>3</xdr:col>
      <xdr:colOff>1664745</xdr:colOff>
      <xdr:row>100</xdr:row>
      <xdr:rowOff>190500</xdr:rowOff>
    </xdr:to>
    <xdr:pic>
      <xdr:nvPicPr>
        <xdr:cNvPr id="17410" name="Picture 2"/>
        <xdr:cNvPicPr>
          <a:picLocks noChangeAspect="1" noChangeArrowheads="1"/>
        </xdr:cNvPicPr>
      </xdr:nvPicPr>
      <xdr:blipFill>
        <a:blip r:embed="rId14" cstate="print"/>
        <a:srcRect/>
        <a:stretch>
          <a:fillRect/>
        </a:stretch>
      </xdr:blipFill>
      <xdr:spPr>
        <a:xfrm>
          <a:off x="4743450" y="24028400"/>
          <a:ext cx="1654810" cy="1712595"/>
        </a:xfrm>
        <a:prstGeom prst="rect">
          <a:avLst/>
        </a:prstGeom>
        <a:noFill/>
        <a:ln w="1">
          <a:noFill/>
          <a:miter lim="800000"/>
          <a:headEnd/>
          <a:tailEnd type="none" w="med" len="med"/>
        </a:ln>
        <a:effectLst/>
      </xdr:spPr>
    </xdr:pic>
    <xdr:clientData/>
  </xdr:twoCellAnchor>
  <xdr:twoCellAnchor editAs="oneCell">
    <xdr:from>
      <xdr:col>4</xdr:col>
      <xdr:colOff>0</xdr:colOff>
      <xdr:row>93</xdr:row>
      <xdr:rowOff>0</xdr:rowOff>
    </xdr:from>
    <xdr:to>
      <xdr:col>6</xdr:col>
      <xdr:colOff>1733550</xdr:colOff>
      <xdr:row>101</xdr:row>
      <xdr:rowOff>47625</xdr:rowOff>
    </xdr:to>
    <xdr:pic>
      <xdr:nvPicPr>
        <xdr:cNvPr id="17412" name="Picture 4"/>
        <xdr:cNvPicPr>
          <a:picLocks noChangeAspect="1" noChangeArrowheads="1"/>
        </xdr:cNvPicPr>
      </xdr:nvPicPr>
      <xdr:blipFill>
        <a:blip r:embed="rId15" cstate="print"/>
        <a:srcRect/>
        <a:stretch>
          <a:fillRect/>
        </a:stretch>
      </xdr:blipFill>
      <xdr:spPr>
        <a:xfrm>
          <a:off x="6410325" y="23763605"/>
          <a:ext cx="3238500" cy="2089785"/>
        </a:xfrm>
        <a:prstGeom prst="rect">
          <a:avLst/>
        </a:prstGeom>
        <a:noFill/>
        <a:ln w="1">
          <a:noFill/>
          <a:miter lim="800000"/>
          <a:headEnd/>
          <a:tailEnd type="none" w="med" len="med"/>
        </a:ln>
        <a:effectLst/>
      </xdr:spPr>
    </xdr:pic>
    <xdr:clientData/>
  </xdr:twoCellAnchor>
  <xdr:twoCellAnchor editAs="oneCell">
    <xdr:from>
      <xdr:col>4</xdr:col>
      <xdr:colOff>9525</xdr:colOff>
      <xdr:row>141</xdr:row>
      <xdr:rowOff>19050</xdr:rowOff>
    </xdr:from>
    <xdr:to>
      <xdr:col>10</xdr:col>
      <xdr:colOff>339725</xdr:colOff>
      <xdr:row>164</xdr:row>
      <xdr:rowOff>141287</xdr:rowOff>
    </xdr:to>
    <xdr:pic>
      <xdr:nvPicPr>
        <xdr:cNvPr id="34" name="内容占位符 3"/>
        <xdr:cNvPicPr>
          <a:picLocks noGrp="1" noChangeAspect="1" noChangeArrowheads="1"/>
        </xdr:cNvPicPr>
      </xdr:nvPicPr>
      <xdr:blipFill>
        <a:blip r:embed="rId16" cstate="print"/>
        <a:srcRect/>
        <a:stretch>
          <a:fillRect/>
        </a:stretch>
      </xdr:blipFill>
      <xdr:spPr>
        <a:xfrm>
          <a:off x="6419850" y="36035615"/>
          <a:ext cx="6797675" cy="5993130"/>
        </a:xfrm>
        <a:prstGeom prst="rect">
          <a:avLst/>
        </a:prstGeom>
        <a:noFill/>
        <a:ln w="9525">
          <a:noFill/>
          <a:miter lim="800000"/>
          <a:headEnd/>
          <a:tailEnd/>
        </a:ln>
      </xdr:spPr>
    </xdr:pic>
    <xdr:clientData/>
  </xdr:twoCellAnchor>
  <xdr:twoCellAnchor editAs="oneCell">
    <xdr:from>
      <xdr:col>4</xdr:col>
      <xdr:colOff>19050</xdr:colOff>
      <xdr:row>132</xdr:row>
      <xdr:rowOff>2</xdr:rowOff>
    </xdr:from>
    <xdr:to>
      <xdr:col>6</xdr:col>
      <xdr:colOff>542925</xdr:colOff>
      <xdr:row>139</xdr:row>
      <xdr:rowOff>33077</xdr:rowOff>
    </xdr:to>
    <xdr:pic>
      <xdr:nvPicPr>
        <xdr:cNvPr id="42" name="Picture 6"/>
        <xdr:cNvPicPr>
          <a:picLocks noChangeAspect="1" noChangeArrowheads="1"/>
        </xdr:cNvPicPr>
      </xdr:nvPicPr>
      <xdr:blipFill>
        <a:blip r:embed="rId17" cstate="print">
          <a:lum bright="10000" contrast="30000"/>
        </a:blip>
        <a:srcRect/>
        <a:stretch>
          <a:fillRect/>
        </a:stretch>
      </xdr:blipFill>
      <xdr:spPr>
        <a:xfrm>
          <a:off x="6429375" y="33719135"/>
          <a:ext cx="2028825" cy="1819910"/>
        </a:xfrm>
        <a:prstGeom prst="rect">
          <a:avLst/>
        </a:prstGeom>
        <a:noFill/>
        <a:ln w="1">
          <a:noFill/>
          <a:miter lim="800000"/>
          <a:headEnd/>
          <a:tailEnd type="none" w="med" len="med"/>
        </a:ln>
        <a:effectLst/>
      </xdr:spPr>
    </xdr:pic>
    <xdr:clientData/>
  </xdr:twoCellAnchor>
  <xdr:twoCellAnchor editAs="oneCell">
    <xdr:from>
      <xdr:col>6</xdr:col>
      <xdr:colOff>600075</xdr:colOff>
      <xdr:row>132</xdr:row>
      <xdr:rowOff>9525</xdr:rowOff>
    </xdr:from>
    <xdr:to>
      <xdr:col>7</xdr:col>
      <xdr:colOff>894300</xdr:colOff>
      <xdr:row>139</xdr:row>
      <xdr:rowOff>76201</xdr:rowOff>
    </xdr:to>
    <xdr:pic>
      <xdr:nvPicPr>
        <xdr:cNvPr id="49" name="Picture 7"/>
        <xdr:cNvPicPr>
          <a:picLocks noChangeAspect="1" noChangeArrowheads="1"/>
        </xdr:cNvPicPr>
      </xdr:nvPicPr>
      <xdr:blipFill>
        <a:blip r:embed="rId18" cstate="print">
          <a:lum bright="10000" contrast="30000"/>
        </a:blip>
        <a:srcRect/>
        <a:stretch>
          <a:fillRect/>
        </a:stretch>
      </xdr:blipFill>
      <xdr:spPr>
        <a:xfrm>
          <a:off x="8515350" y="33728660"/>
          <a:ext cx="2113280" cy="1853565"/>
        </a:xfrm>
        <a:prstGeom prst="rect">
          <a:avLst/>
        </a:prstGeom>
        <a:noFill/>
        <a:ln w="1">
          <a:noFill/>
          <a:miter lim="800000"/>
          <a:headEnd/>
          <a:tailEnd type="none" w="med" len="med"/>
        </a:ln>
        <a:effectLst/>
      </xdr:spPr>
    </xdr:pic>
    <xdr:clientData/>
  </xdr:twoCellAnchor>
  <xdr:twoCellAnchor>
    <xdr:from>
      <xdr:col>5</xdr:col>
      <xdr:colOff>1085850</xdr:colOff>
      <xdr:row>134</xdr:row>
      <xdr:rowOff>238125</xdr:rowOff>
    </xdr:from>
    <xdr:to>
      <xdr:col>6</xdr:col>
      <xdr:colOff>666750</xdr:colOff>
      <xdr:row>136</xdr:row>
      <xdr:rowOff>219075</xdr:rowOff>
    </xdr:to>
    <xdr:sp>
      <xdr:nvSpPr>
        <xdr:cNvPr id="45" name="右箭头 44"/>
        <xdr:cNvSpPr/>
      </xdr:nvSpPr>
      <xdr:spPr>
        <a:xfrm>
          <a:off x="7905750" y="34467800"/>
          <a:ext cx="676275" cy="491490"/>
        </a:xfrm>
        <a:prstGeom prst="rightArrow">
          <a:avLst/>
        </a:prstGeom>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twoCellAnchor editAs="oneCell">
    <xdr:from>
      <xdr:col>7</xdr:col>
      <xdr:colOff>895350</xdr:colOff>
      <xdr:row>132</xdr:row>
      <xdr:rowOff>1</xdr:rowOff>
    </xdr:from>
    <xdr:to>
      <xdr:col>9</xdr:col>
      <xdr:colOff>708151</xdr:colOff>
      <xdr:row>139</xdr:row>
      <xdr:rowOff>152401</xdr:rowOff>
    </xdr:to>
    <xdr:pic>
      <xdr:nvPicPr>
        <xdr:cNvPr id="17414" name="Picture 6"/>
        <xdr:cNvPicPr>
          <a:picLocks noChangeAspect="1" noChangeArrowheads="1"/>
        </xdr:cNvPicPr>
      </xdr:nvPicPr>
      <xdr:blipFill>
        <a:blip r:embed="rId19" cstate="print">
          <a:lum bright="10000" contrast="30000"/>
        </a:blip>
        <a:srcRect/>
        <a:stretch>
          <a:fillRect/>
        </a:stretch>
      </xdr:blipFill>
      <xdr:spPr>
        <a:xfrm>
          <a:off x="10629900" y="33719135"/>
          <a:ext cx="2193925" cy="1939290"/>
        </a:xfrm>
        <a:prstGeom prst="rect">
          <a:avLst/>
        </a:prstGeom>
        <a:noFill/>
        <a:ln w="1">
          <a:noFill/>
          <a:miter lim="800000"/>
          <a:headEnd/>
          <a:tailEnd type="none" w="med" len="med"/>
        </a:ln>
        <a:effectLst/>
      </xdr:spPr>
    </xdr:pic>
    <xdr:clientData/>
  </xdr:twoCellAnchor>
  <xdr:twoCellAnchor>
    <xdr:from>
      <xdr:col>7</xdr:col>
      <xdr:colOff>314325</xdr:colOff>
      <xdr:row>134</xdr:row>
      <xdr:rowOff>238125</xdr:rowOff>
    </xdr:from>
    <xdr:to>
      <xdr:col>7</xdr:col>
      <xdr:colOff>990600</xdr:colOff>
      <xdr:row>136</xdr:row>
      <xdr:rowOff>219075</xdr:rowOff>
    </xdr:to>
    <xdr:sp>
      <xdr:nvSpPr>
        <xdr:cNvPr id="50" name="右箭头 49"/>
        <xdr:cNvSpPr/>
      </xdr:nvSpPr>
      <xdr:spPr>
        <a:xfrm>
          <a:off x="10048875" y="34467800"/>
          <a:ext cx="676275" cy="491490"/>
        </a:xfrm>
        <a:prstGeom prst="rightArrow">
          <a:avLst/>
        </a:prstGeom>
      </xdr:spPr>
      <xdr:style>
        <a:lnRef idx="2">
          <a:schemeClr val="accent2"/>
        </a:lnRef>
        <a:fillRef idx="1">
          <a:schemeClr val="lt1"/>
        </a:fillRef>
        <a:effectRef idx="0">
          <a:schemeClr val="accent2"/>
        </a:effectRef>
        <a:fontRef idx="minor">
          <a:schemeClr val="dk1"/>
        </a:fontRef>
      </xdr:style>
      <xdr:txBody>
        <a:bodyPr vertOverflow="clip" rtlCol="0" anchor="ctr"/>
        <a:lstStyle/>
        <a:p>
          <a:pPr algn="ctr"/>
          <a:endParaRPr lang="zh-CN" altLang="en-US" sz="1100"/>
        </a:p>
      </xdr:txBody>
    </xdr:sp>
    <xdr:clientData/>
  </xdr:twoCellAnchor>
  <xdr:oneCellAnchor>
    <xdr:from>
      <xdr:col>7</xdr:col>
      <xdr:colOff>1038225</xdr:colOff>
      <xdr:row>148</xdr:row>
      <xdr:rowOff>9525</xdr:rowOff>
    </xdr:from>
    <xdr:ext cx="184731" cy="400366"/>
    <xdr:sp>
      <xdr:nvSpPr>
        <xdr:cNvPr id="52" name="TextBox 51"/>
        <xdr:cNvSpPr txBox="1"/>
      </xdr:nvSpPr>
      <xdr:spPr>
        <a:xfrm>
          <a:off x="10772775" y="37812980"/>
          <a:ext cx="184150" cy="400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endParaRPr lang="zh-CN" altLang="en-US" sz="1400">
            <a:latin typeface="微软雅黑" panose="020B0503020204020204" pitchFamily="34" charset="-122"/>
            <a:ea typeface="微软雅黑" panose="020B0503020204020204" pitchFamily="34" charset="-122"/>
          </a:endParaRPr>
        </a:p>
      </xdr:txBody>
    </xdr:sp>
    <xdr:clientData/>
  </xdr:oneCellAnchor>
  <xdr:twoCellAnchor>
    <xdr:from>
      <xdr:col>5</xdr:col>
      <xdr:colOff>276226</xdr:colOff>
      <xdr:row>133</xdr:row>
      <xdr:rowOff>9526</xdr:rowOff>
    </xdr:from>
    <xdr:to>
      <xdr:col>5</xdr:col>
      <xdr:colOff>409576</xdr:colOff>
      <xdr:row>133</xdr:row>
      <xdr:rowOff>104776</xdr:rowOff>
    </xdr:to>
    <xdr:sp>
      <xdr:nvSpPr>
        <xdr:cNvPr id="56" name="矩形 55"/>
        <xdr:cNvSpPr/>
      </xdr:nvSpPr>
      <xdr:spPr>
        <a:xfrm>
          <a:off x="7096125" y="33983930"/>
          <a:ext cx="133350" cy="95250"/>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rtlCol="0" anchor="ctr"/>
        <a:lstStyle/>
        <a:p>
          <a:pPr algn="ctr"/>
          <a:endParaRPr lang="zh-CN" altLang="en-US" sz="1100"/>
        </a:p>
      </xdr:txBody>
    </xdr:sp>
    <xdr:clientData/>
  </xdr:twoCellAnchor>
  <xdr:twoCellAnchor>
    <xdr:from>
      <xdr:col>6</xdr:col>
      <xdr:colOff>1247775</xdr:colOff>
      <xdr:row>133</xdr:row>
      <xdr:rowOff>19050</xdr:rowOff>
    </xdr:from>
    <xdr:to>
      <xdr:col>6</xdr:col>
      <xdr:colOff>1381125</xdr:colOff>
      <xdr:row>133</xdr:row>
      <xdr:rowOff>114300</xdr:rowOff>
    </xdr:to>
    <xdr:sp>
      <xdr:nvSpPr>
        <xdr:cNvPr id="57" name="矩形 56"/>
        <xdr:cNvSpPr/>
      </xdr:nvSpPr>
      <xdr:spPr>
        <a:xfrm>
          <a:off x="9163050" y="33993455"/>
          <a:ext cx="133350" cy="95250"/>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rtlCol="0" anchor="ctr"/>
        <a:lstStyle/>
        <a:p>
          <a:pPr algn="ctr"/>
          <a:endParaRPr lang="zh-CN" altLang="en-US" sz="1100"/>
        </a:p>
      </xdr:txBody>
    </xdr:sp>
    <xdr:clientData/>
  </xdr:twoCellAnchor>
  <xdr:twoCellAnchor>
    <xdr:from>
      <xdr:col>8</xdr:col>
      <xdr:colOff>104775</xdr:colOff>
      <xdr:row>132</xdr:row>
      <xdr:rowOff>209551</xdr:rowOff>
    </xdr:from>
    <xdr:to>
      <xdr:col>8</xdr:col>
      <xdr:colOff>238125</xdr:colOff>
      <xdr:row>133</xdr:row>
      <xdr:rowOff>57151</xdr:rowOff>
    </xdr:to>
    <xdr:sp>
      <xdr:nvSpPr>
        <xdr:cNvPr id="58" name="矩形 57"/>
        <xdr:cNvSpPr/>
      </xdr:nvSpPr>
      <xdr:spPr>
        <a:xfrm>
          <a:off x="10887075" y="33928685"/>
          <a:ext cx="133350" cy="102870"/>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rtlCol="0" anchor="ctr"/>
        <a:lstStyle/>
        <a:p>
          <a:pPr algn="ctr"/>
          <a:endParaRPr lang="zh-CN" altLang="en-US" sz="1100"/>
        </a:p>
      </xdr:txBody>
    </xdr:sp>
    <xdr:clientData/>
  </xdr:twoCellAnchor>
  <xdr:twoCellAnchor editAs="oneCell">
    <xdr:from>
      <xdr:col>0</xdr:col>
      <xdr:colOff>0</xdr:colOff>
      <xdr:row>137</xdr:row>
      <xdr:rowOff>0</xdr:rowOff>
    </xdr:from>
    <xdr:to>
      <xdr:col>1</xdr:col>
      <xdr:colOff>2514600</xdr:colOff>
      <xdr:row>144</xdr:row>
      <xdr:rowOff>104775</xdr:rowOff>
    </xdr:to>
    <xdr:pic>
      <xdr:nvPicPr>
        <xdr:cNvPr id="60" name="Picture 5"/>
        <xdr:cNvPicPr>
          <a:picLocks noChangeAspect="1" noChangeArrowheads="1"/>
        </xdr:cNvPicPr>
      </xdr:nvPicPr>
      <xdr:blipFill>
        <a:blip r:embed="rId20" cstate="print"/>
        <a:srcRect/>
        <a:stretch>
          <a:fillRect/>
        </a:stretch>
      </xdr:blipFill>
      <xdr:spPr>
        <a:xfrm>
          <a:off x="0" y="34995485"/>
          <a:ext cx="3533775" cy="1891665"/>
        </a:xfrm>
        <a:prstGeom prst="rect">
          <a:avLst/>
        </a:prstGeom>
        <a:noFill/>
        <a:ln w="1">
          <a:noFill/>
          <a:miter lim="800000"/>
          <a:headEnd/>
          <a:tailEnd type="none" w="med" len="med"/>
        </a:ln>
        <a:effectLst/>
      </xdr:spPr>
    </xdr:pic>
    <xdr:clientData/>
  </xdr:twoCellAnchor>
  <xdr:twoCellAnchor editAs="oneCell">
    <xdr:from>
      <xdr:col>0</xdr:col>
      <xdr:colOff>0</xdr:colOff>
      <xdr:row>144</xdr:row>
      <xdr:rowOff>114300</xdr:rowOff>
    </xdr:from>
    <xdr:to>
      <xdr:col>1</xdr:col>
      <xdr:colOff>1943100</xdr:colOff>
      <xdr:row>152</xdr:row>
      <xdr:rowOff>228600</xdr:rowOff>
    </xdr:to>
    <xdr:pic>
      <xdr:nvPicPr>
        <xdr:cNvPr id="61" name="Picture 3"/>
        <xdr:cNvPicPr>
          <a:picLocks noChangeAspect="1" noChangeArrowheads="1"/>
        </xdr:cNvPicPr>
      </xdr:nvPicPr>
      <xdr:blipFill>
        <a:blip r:embed="rId21" cstate="print"/>
        <a:srcRect/>
        <a:stretch>
          <a:fillRect/>
        </a:stretch>
      </xdr:blipFill>
      <xdr:spPr>
        <a:xfrm>
          <a:off x="0" y="36896675"/>
          <a:ext cx="2962275" cy="2156460"/>
        </a:xfrm>
        <a:prstGeom prst="rect">
          <a:avLst/>
        </a:prstGeom>
        <a:noFill/>
        <a:ln w="1">
          <a:noFill/>
          <a:miter lim="800000"/>
          <a:headEnd/>
          <a:tailEnd type="none" w="med" len="med"/>
        </a:ln>
        <a:effectLst/>
      </xdr:spPr>
    </xdr:pic>
    <xdr:clientData/>
  </xdr:twoCellAnchor>
  <xdr:oneCellAnchor>
    <xdr:from>
      <xdr:col>1</xdr:col>
      <xdr:colOff>76200</xdr:colOff>
      <xdr:row>144</xdr:row>
      <xdr:rowOff>104775</xdr:rowOff>
    </xdr:from>
    <xdr:ext cx="723275" cy="400366"/>
    <xdr:sp>
      <xdr:nvSpPr>
        <xdr:cNvPr id="62" name="TextBox 61"/>
        <xdr:cNvSpPr txBox="1"/>
      </xdr:nvSpPr>
      <xdr:spPr>
        <a:xfrm>
          <a:off x="1095375" y="36887150"/>
          <a:ext cx="723265" cy="400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400">
              <a:latin typeface="微软雅黑" panose="020B0503020204020204" pitchFamily="34" charset="-122"/>
              <a:ea typeface="微软雅黑" panose="020B0503020204020204" pitchFamily="34" charset="-122"/>
            </a:rPr>
            <a:t>分割型</a:t>
          </a:r>
          <a:endParaRPr lang="zh-CN" altLang="en-US" sz="1400">
            <a:latin typeface="微软雅黑" panose="020B0503020204020204" pitchFamily="34" charset="-122"/>
            <a:ea typeface="微软雅黑" panose="020B0503020204020204" pitchFamily="34" charset="-122"/>
          </a:endParaRPr>
        </a:p>
      </xdr:txBody>
    </xdr:sp>
    <xdr:clientData/>
  </xdr:oneCellAnchor>
  <xdr:twoCellAnchor editAs="oneCell">
    <xdr:from>
      <xdr:col>1</xdr:col>
      <xdr:colOff>2009775</xdr:colOff>
      <xdr:row>144</xdr:row>
      <xdr:rowOff>123825</xdr:rowOff>
    </xdr:from>
    <xdr:to>
      <xdr:col>3</xdr:col>
      <xdr:colOff>1533525</xdr:colOff>
      <xdr:row>152</xdr:row>
      <xdr:rowOff>171450</xdr:rowOff>
    </xdr:to>
    <xdr:pic>
      <xdr:nvPicPr>
        <xdr:cNvPr id="63" name="Picture 4"/>
        <xdr:cNvPicPr>
          <a:picLocks noChangeAspect="1" noChangeArrowheads="1"/>
        </xdr:cNvPicPr>
      </xdr:nvPicPr>
      <xdr:blipFill>
        <a:blip r:embed="rId15" cstate="print"/>
        <a:srcRect/>
        <a:stretch>
          <a:fillRect/>
        </a:stretch>
      </xdr:blipFill>
      <xdr:spPr>
        <a:xfrm>
          <a:off x="3028950" y="36906200"/>
          <a:ext cx="3238500" cy="2089785"/>
        </a:xfrm>
        <a:prstGeom prst="rect">
          <a:avLst/>
        </a:prstGeom>
        <a:noFill/>
        <a:ln w="1">
          <a:noFill/>
          <a:miter lim="800000"/>
          <a:headEnd/>
          <a:tailEnd type="none" w="med" len="med"/>
        </a:ln>
        <a:effectLst/>
      </xdr:spPr>
    </xdr:pic>
    <xdr:clientData/>
  </xdr:twoCellAnchor>
  <xdr:oneCellAnchor>
    <xdr:from>
      <xdr:col>2</xdr:col>
      <xdr:colOff>552450</xdr:colOff>
      <xdr:row>144</xdr:row>
      <xdr:rowOff>123825</xdr:rowOff>
    </xdr:from>
    <xdr:ext cx="723275" cy="400366"/>
    <xdr:sp>
      <xdr:nvSpPr>
        <xdr:cNvPr id="64" name="TextBox 63"/>
        <xdr:cNvSpPr txBox="1"/>
      </xdr:nvSpPr>
      <xdr:spPr>
        <a:xfrm>
          <a:off x="4105275" y="36906200"/>
          <a:ext cx="723265" cy="400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400">
              <a:latin typeface="微软雅黑" panose="020B0503020204020204" pitchFamily="34" charset="-122"/>
              <a:ea typeface="微软雅黑" panose="020B0503020204020204" pitchFamily="34" charset="-122"/>
            </a:rPr>
            <a:t>摇摆型</a:t>
          </a:r>
          <a:endParaRPr lang="zh-CN" altLang="en-US" sz="1400">
            <a:latin typeface="微软雅黑" panose="020B0503020204020204" pitchFamily="34" charset="-122"/>
            <a:ea typeface="微软雅黑" panose="020B0503020204020204" pitchFamily="34" charset="-122"/>
          </a:endParaRPr>
        </a:p>
      </xdr:txBody>
    </xdr:sp>
    <xdr:clientData/>
  </xdr:oneCellAnchor>
  <xdr:twoCellAnchor>
    <xdr:from>
      <xdr:col>5</xdr:col>
      <xdr:colOff>600075</xdr:colOff>
      <xdr:row>134</xdr:row>
      <xdr:rowOff>219075</xdr:rowOff>
    </xdr:from>
    <xdr:to>
      <xdr:col>5</xdr:col>
      <xdr:colOff>866775</xdr:colOff>
      <xdr:row>137</xdr:row>
      <xdr:rowOff>123825</xdr:rowOff>
    </xdr:to>
    <xdr:sp>
      <xdr:nvSpPr>
        <xdr:cNvPr id="66" name="环形箭头 65"/>
        <xdr:cNvSpPr/>
      </xdr:nvSpPr>
      <xdr:spPr>
        <a:xfrm>
          <a:off x="7419975" y="34448750"/>
          <a:ext cx="266700" cy="670560"/>
        </a:xfrm>
        <a:prstGeom prst="circularArrow">
          <a:avLst/>
        </a:prstGeom>
      </xdr:spPr>
      <xdr:style>
        <a:lnRef idx="3">
          <a:schemeClr val="lt1"/>
        </a:lnRef>
        <a:fillRef idx="1">
          <a:schemeClr val="accent2"/>
        </a:fillRef>
        <a:effectRef idx="1">
          <a:schemeClr val="accent2"/>
        </a:effectRef>
        <a:fontRef idx="minor">
          <a:schemeClr val="lt1"/>
        </a:fontRef>
      </xdr:style>
      <xdr:txBody>
        <a:bodyPr vertOverflow="clip" rtlCol="0" anchor="ctr"/>
        <a:lstStyle/>
        <a:p>
          <a:pPr algn="ctr"/>
          <a:endParaRPr lang="zh-CN" altLang="en-US" sz="1100">
            <a:solidFill>
              <a:schemeClr val="tx1"/>
            </a:solidFill>
          </a:endParaRPr>
        </a:p>
      </xdr:txBody>
    </xdr:sp>
    <xdr:clientData/>
  </xdr:twoCellAnchor>
  <xdr:twoCellAnchor>
    <xdr:from>
      <xdr:col>0</xdr:col>
      <xdr:colOff>9525</xdr:colOff>
      <xdr:row>0</xdr:row>
      <xdr:rowOff>19050</xdr:rowOff>
    </xdr:from>
    <xdr:to>
      <xdr:col>0</xdr:col>
      <xdr:colOff>819151</xdr:colOff>
      <xdr:row>0</xdr:row>
      <xdr:rowOff>257175</xdr:rowOff>
    </xdr:to>
    <xdr:sp>
      <xdr:nvSpPr>
        <xdr:cNvPr id="51" name="五边形 50">
          <a:hlinkClick xmlns:r="http://schemas.openxmlformats.org/officeDocument/2006/relationships" r:id="rId22"/>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32.xml><?xml version="1.0" encoding="utf-8"?>
<xdr:wsDr xmlns:xdr="http://schemas.openxmlformats.org/drawingml/2006/spreadsheetDrawing" xmlns:r="http://schemas.openxmlformats.org/officeDocument/2006/relationships" xmlns:a="http://schemas.openxmlformats.org/drawingml/2006/main">
  <xdr:twoCellAnchor>
    <xdr:from>
      <xdr:col>5</xdr:col>
      <xdr:colOff>323850</xdr:colOff>
      <xdr:row>5</xdr:row>
      <xdr:rowOff>123825</xdr:rowOff>
    </xdr:from>
    <xdr:to>
      <xdr:col>14</xdr:col>
      <xdr:colOff>457200</xdr:colOff>
      <xdr:row>32</xdr:row>
      <xdr:rowOff>9525</xdr:rowOff>
    </xdr:to>
    <xdr:graphicFrame>
      <xdr:nvGraphicFramePr>
        <xdr:cNvPr id="2" name="图表 1"/>
        <xdr:cNvGraphicFramePr/>
      </xdr:nvGraphicFramePr>
      <xdr:xfrm>
        <a:off x="3409950" y="1229360"/>
        <a:ext cx="6305550" cy="462534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323849</xdr:colOff>
      <xdr:row>32</xdr:row>
      <xdr:rowOff>161924</xdr:rowOff>
    </xdr:from>
    <xdr:to>
      <xdr:col>14</xdr:col>
      <xdr:colOff>476250</xdr:colOff>
      <xdr:row>54</xdr:row>
      <xdr:rowOff>28575</xdr:rowOff>
    </xdr:to>
    <xdr:graphicFrame>
      <xdr:nvGraphicFramePr>
        <xdr:cNvPr id="3" name="图表 2"/>
        <xdr:cNvGraphicFramePr/>
      </xdr:nvGraphicFramePr>
      <xdr:xfrm>
        <a:off x="3409315" y="6006465"/>
        <a:ext cx="6325235" cy="3723005"/>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9525</xdr:colOff>
      <xdr:row>0</xdr:row>
      <xdr:rowOff>19050</xdr:rowOff>
    </xdr:from>
    <xdr:to>
      <xdr:col>1</xdr:col>
      <xdr:colOff>314326</xdr:colOff>
      <xdr:row>0</xdr:row>
      <xdr:rowOff>257175</xdr:rowOff>
    </xdr:to>
    <xdr:sp>
      <xdr:nvSpPr>
        <xdr:cNvPr id="4" name="五边形 3">
          <a:hlinkClick xmlns:r="http://schemas.openxmlformats.org/officeDocument/2006/relationships" r:id="rId3"/>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33.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371475</xdr:colOff>
      <xdr:row>0</xdr:row>
      <xdr:rowOff>0</xdr:rowOff>
    </xdr:from>
    <xdr:to>
      <xdr:col>29</xdr:col>
      <xdr:colOff>533400</xdr:colOff>
      <xdr:row>39</xdr:row>
      <xdr:rowOff>0</xdr:rowOff>
    </xdr:to>
    <xdr:pic>
      <xdr:nvPicPr>
        <xdr:cNvPr id="13313" name="Picture 1"/>
        <xdr:cNvPicPr>
          <a:picLocks noChangeAspect="1" noChangeArrowheads="1"/>
        </xdr:cNvPicPr>
      </xdr:nvPicPr>
      <xdr:blipFill>
        <a:blip r:embed="rId1" cstate="print"/>
        <a:srcRect/>
        <a:stretch>
          <a:fillRect/>
        </a:stretch>
      </xdr:blipFill>
      <xdr:spPr>
        <a:xfrm>
          <a:off x="10315575" y="0"/>
          <a:ext cx="9763125" cy="7062470"/>
        </a:xfrm>
        <a:prstGeom prst="rect">
          <a:avLst/>
        </a:prstGeom>
        <a:noFill/>
        <a:ln w="1">
          <a:noFill/>
          <a:miter lim="800000"/>
          <a:headEnd/>
          <a:tailEnd type="none" w="med" len="med"/>
        </a:ln>
        <a:effectLst/>
      </xdr:spPr>
    </xdr:pic>
    <xdr:clientData/>
  </xdr:twoCellAnchor>
  <xdr:twoCellAnchor editAs="oneCell">
    <xdr:from>
      <xdr:col>0</xdr:col>
      <xdr:colOff>0</xdr:colOff>
      <xdr:row>2</xdr:row>
      <xdr:rowOff>0</xdr:rowOff>
    </xdr:from>
    <xdr:to>
      <xdr:col>6</xdr:col>
      <xdr:colOff>333375</xdr:colOff>
      <xdr:row>25</xdr:row>
      <xdr:rowOff>38100</xdr:rowOff>
    </xdr:to>
    <xdr:pic>
      <xdr:nvPicPr>
        <xdr:cNvPr id="13314" name="Picture 2"/>
        <xdr:cNvPicPr>
          <a:picLocks noChangeAspect="1" noChangeArrowheads="1"/>
        </xdr:cNvPicPr>
      </xdr:nvPicPr>
      <xdr:blipFill>
        <a:blip r:embed="rId2" cstate="print"/>
        <a:srcRect/>
        <a:stretch>
          <a:fillRect/>
        </a:stretch>
      </xdr:blipFill>
      <xdr:spPr>
        <a:xfrm>
          <a:off x="0" y="459740"/>
          <a:ext cx="4105275" cy="4179570"/>
        </a:xfrm>
        <a:prstGeom prst="rect">
          <a:avLst/>
        </a:prstGeom>
        <a:noFill/>
        <a:ln w="1">
          <a:noFill/>
          <a:miter lim="800000"/>
          <a:headEnd/>
          <a:tailEnd type="none" w="med" len="med"/>
        </a:ln>
        <a:effectLst/>
      </xdr:spPr>
    </xdr:pic>
    <xdr:clientData/>
  </xdr:twoCellAnchor>
  <xdr:twoCellAnchor editAs="oneCell">
    <xdr:from>
      <xdr:col>6</xdr:col>
      <xdr:colOff>542925</xdr:colOff>
      <xdr:row>1</xdr:row>
      <xdr:rowOff>0</xdr:rowOff>
    </xdr:from>
    <xdr:to>
      <xdr:col>13</xdr:col>
      <xdr:colOff>514350</xdr:colOff>
      <xdr:row>25</xdr:row>
      <xdr:rowOff>74862</xdr:rowOff>
    </xdr:to>
    <xdr:pic>
      <xdr:nvPicPr>
        <xdr:cNvPr id="9" name="Object 1028"/>
        <xdr:cNvPicPr>
          <a:picLocks noChangeAspect="1" noChangeArrowheads="1"/>
        </xdr:cNvPicPr>
      </xdr:nvPicPr>
      <xdr:blipFill>
        <a:blip r:embed="rId3" cstate="print"/>
        <a:srcRect/>
        <a:stretch>
          <a:fillRect/>
        </a:stretch>
      </xdr:blipFill>
      <xdr:spPr>
        <a:xfrm>
          <a:off x="4314825" y="278765"/>
          <a:ext cx="4772025" cy="4396740"/>
        </a:xfrm>
        <a:prstGeom prst="rect">
          <a:avLst/>
        </a:prstGeom>
        <a:noFill/>
        <a:ln w="9525">
          <a:noFill/>
          <a:miter lim="800000"/>
          <a:headEnd/>
          <a:tailEnd/>
        </a:ln>
        <a:effectLst/>
      </xdr:spPr>
    </xdr:pic>
    <xdr:clientData/>
  </xdr:twoCellAnchor>
  <xdr:twoCellAnchor>
    <xdr:from>
      <xdr:col>9</xdr:col>
      <xdr:colOff>352425</xdr:colOff>
      <xdr:row>15</xdr:row>
      <xdr:rowOff>38100</xdr:rowOff>
    </xdr:from>
    <xdr:to>
      <xdr:col>9</xdr:col>
      <xdr:colOff>361950</xdr:colOff>
      <xdr:row>22</xdr:row>
      <xdr:rowOff>57150</xdr:rowOff>
    </xdr:to>
    <xdr:cxnSp>
      <xdr:nvCxnSpPr>
        <xdr:cNvPr id="11" name="直接连接符 10"/>
        <xdr:cNvCxnSpPr/>
      </xdr:nvCxnSpPr>
      <xdr:spPr>
        <a:xfrm flipH="1">
          <a:off x="6181725" y="2886710"/>
          <a:ext cx="9525" cy="1245870"/>
        </a:xfrm>
        <a:prstGeom prst="line">
          <a:avLst/>
        </a:prstGeom>
        <a:ln w="38100">
          <a:solidFill>
            <a:srgbClr val="FF0000"/>
          </a:solidFill>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0</xdr:col>
      <xdr:colOff>0</xdr:colOff>
      <xdr:row>27</xdr:row>
      <xdr:rowOff>0</xdr:rowOff>
    </xdr:from>
    <xdr:to>
      <xdr:col>6</xdr:col>
      <xdr:colOff>333375</xdr:colOff>
      <xdr:row>51</xdr:row>
      <xdr:rowOff>47625</xdr:rowOff>
    </xdr:to>
    <xdr:pic>
      <xdr:nvPicPr>
        <xdr:cNvPr id="13315" name="Picture 3"/>
        <xdr:cNvPicPr>
          <a:picLocks noChangeAspect="1" noChangeArrowheads="1"/>
        </xdr:cNvPicPr>
      </xdr:nvPicPr>
      <xdr:blipFill>
        <a:blip r:embed="rId4" cstate="print"/>
        <a:srcRect/>
        <a:stretch>
          <a:fillRect/>
        </a:stretch>
      </xdr:blipFill>
      <xdr:spPr>
        <a:xfrm>
          <a:off x="0" y="4959350"/>
          <a:ext cx="4105275" cy="4261485"/>
        </a:xfrm>
        <a:prstGeom prst="rect">
          <a:avLst/>
        </a:prstGeom>
        <a:noFill/>
        <a:ln w="1">
          <a:noFill/>
          <a:miter lim="800000"/>
          <a:headEnd/>
          <a:tailEnd type="none" w="med" len="med"/>
        </a:ln>
        <a:effectLst/>
      </xdr:spPr>
    </xdr:pic>
    <xdr:clientData/>
  </xdr:twoCellAnchor>
  <xdr:twoCellAnchor>
    <xdr:from>
      <xdr:col>6</xdr:col>
      <xdr:colOff>514350</xdr:colOff>
      <xdr:row>27</xdr:row>
      <xdr:rowOff>28575</xdr:rowOff>
    </xdr:from>
    <xdr:to>
      <xdr:col>15</xdr:col>
      <xdr:colOff>438150</xdr:colOff>
      <xdr:row>37</xdr:row>
      <xdr:rowOff>28575</xdr:rowOff>
    </xdr:to>
    <xdr:pic>
      <xdr:nvPicPr>
        <xdr:cNvPr id="13316" name="Object 1024"/>
        <xdr:cNvPicPr>
          <a:picLocks noChangeAspect="1" noChangeArrowheads="1"/>
        </xdr:cNvPicPr>
      </xdr:nvPicPr>
      <xdr:blipFill>
        <a:blip r:embed="rId5" cstate="print"/>
        <a:srcRect/>
        <a:stretch>
          <a:fillRect/>
        </a:stretch>
      </xdr:blipFill>
      <xdr:spPr>
        <a:xfrm>
          <a:off x="4286250" y="4987925"/>
          <a:ext cx="6096000" cy="1752600"/>
        </a:xfrm>
        <a:prstGeom prst="rect">
          <a:avLst/>
        </a:prstGeom>
        <a:noFill/>
        <a:ln w="9525">
          <a:noFill/>
          <a:miter lim="800000"/>
          <a:headEnd/>
          <a:tailEnd/>
        </a:ln>
        <a:effectLst/>
      </xdr:spPr>
    </xdr:pic>
    <xdr:clientData/>
  </xdr:twoCellAnchor>
  <xdr:twoCellAnchor>
    <xdr:from>
      <xdr:col>0</xdr:col>
      <xdr:colOff>9525</xdr:colOff>
      <xdr:row>53</xdr:row>
      <xdr:rowOff>0</xdr:rowOff>
    </xdr:from>
    <xdr:to>
      <xdr:col>6</xdr:col>
      <xdr:colOff>581025</xdr:colOff>
      <xdr:row>71</xdr:row>
      <xdr:rowOff>57150</xdr:rowOff>
    </xdr:to>
    <xdr:pic>
      <xdr:nvPicPr>
        <xdr:cNvPr id="13317" name="Object 1025"/>
        <xdr:cNvPicPr>
          <a:picLocks noChangeAspect="1" noChangeArrowheads="1"/>
        </xdr:cNvPicPr>
      </xdr:nvPicPr>
      <xdr:blipFill>
        <a:blip r:embed="rId6" cstate="print"/>
        <a:srcRect/>
        <a:stretch>
          <a:fillRect/>
        </a:stretch>
      </xdr:blipFill>
      <xdr:spPr>
        <a:xfrm>
          <a:off x="9525" y="9531350"/>
          <a:ext cx="4343400" cy="3211830"/>
        </a:xfrm>
        <a:prstGeom prst="rect">
          <a:avLst/>
        </a:prstGeom>
        <a:noFill/>
        <a:ln w="9525">
          <a:noFill/>
          <a:miter lim="800000"/>
          <a:headEnd/>
          <a:tailEnd/>
        </a:ln>
        <a:effectLst/>
      </xdr:spPr>
    </xdr:pic>
    <xdr:clientData/>
  </xdr:twoCellAnchor>
  <xdr:twoCellAnchor>
    <xdr:from>
      <xdr:col>0</xdr:col>
      <xdr:colOff>38100</xdr:colOff>
      <xdr:row>71</xdr:row>
      <xdr:rowOff>0</xdr:rowOff>
    </xdr:from>
    <xdr:to>
      <xdr:col>6</xdr:col>
      <xdr:colOff>609600</xdr:colOff>
      <xdr:row>83</xdr:row>
      <xdr:rowOff>9525</xdr:rowOff>
    </xdr:to>
    <xdr:pic>
      <xdr:nvPicPr>
        <xdr:cNvPr id="13318" name="Object 1026"/>
        <xdr:cNvPicPr>
          <a:picLocks noChangeAspect="1" noChangeArrowheads="1"/>
        </xdr:cNvPicPr>
      </xdr:nvPicPr>
      <xdr:blipFill>
        <a:blip r:embed="rId7" cstate="print"/>
        <a:srcRect/>
        <a:stretch>
          <a:fillRect/>
        </a:stretch>
      </xdr:blipFill>
      <xdr:spPr>
        <a:xfrm>
          <a:off x="38100" y="12686030"/>
          <a:ext cx="4343400" cy="2112645"/>
        </a:xfrm>
        <a:prstGeom prst="rect">
          <a:avLst/>
        </a:prstGeom>
        <a:noFill/>
        <a:ln w="9525">
          <a:noFill/>
          <a:miter lim="800000"/>
          <a:headEnd/>
          <a:tailEnd/>
        </a:ln>
        <a:effectLst/>
      </xdr:spPr>
    </xdr:pic>
    <xdr:clientData/>
  </xdr:twoCellAnchor>
  <xdr:twoCellAnchor>
    <xdr:from>
      <xdr:col>7</xdr:col>
      <xdr:colOff>19050</xdr:colOff>
      <xdr:row>52</xdr:row>
      <xdr:rowOff>171450</xdr:rowOff>
    </xdr:from>
    <xdr:to>
      <xdr:col>19</xdr:col>
      <xdr:colOff>247650</xdr:colOff>
      <xdr:row>68</xdr:row>
      <xdr:rowOff>95250</xdr:rowOff>
    </xdr:to>
    <xdr:pic>
      <xdr:nvPicPr>
        <xdr:cNvPr id="13319" name="Object 1024"/>
        <xdr:cNvPicPr>
          <a:picLocks noChangeAspect="1" noChangeArrowheads="1"/>
        </xdr:cNvPicPr>
      </xdr:nvPicPr>
      <xdr:blipFill>
        <a:blip r:embed="rId8" cstate="print"/>
        <a:srcRect/>
        <a:stretch>
          <a:fillRect/>
        </a:stretch>
      </xdr:blipFill>
      <xdr:spPr>
        <a:xfrm>
          <a:off x="4476750" y="9519920"/>
          <a:ext cx="8458200" cy="2735580"/>
        </a:xfrm>
        <a:prstGeom prst="rect">
          <a:avLst/>
        </a:prstGeom>
        <a:noFill/>
        <a:ln w="9525">
          <a:noFill/>
          <a:miter lim="800000"/>
          <a:headEnd/>
          <a:tailEnd/>
        </a:ln>
        <a:effectLst/>
      </xdr:spPr>
    </xdr:pic>
    <xdr:clientData/>
  </xdr:twoCellAnchor>
  <xdr:twoCellAnchor>
    <xdr:from>
      <xdr:col>0</xdr:col>
      <xdr:colOff>0</xdr:colOff>
      <xdr:row>86</xdr:row>
      <xdr:rowOff>28575</xdr:rowOff>
    </xdr:from>
    <xdr:to>
      <xdr:col>11</xdr:col>
      <xdr:colOff>571500</xdr:colOff>
      <xdr:row>111</xdr:row>
      <xdr:rowOff>38100</xdr:rowOff>
    </xdr:to>
    <xdr:pic>
      <xdr:nvPicPr>
        <xdr:cNvPr id="13320" name="Object 1024"/>
        <xdr:cNvPicPr>
          <a:picLocks noChangeAspect="1" noChangeArrowheads="1"/>
        </xdr:cNvPicPr>
      </xdr:nvPicPr>
      <xdr:blipFill>
        <a:blip r:embed="rId9" cstate="print"/>
        <a:srcRect/>
        <a:stretch>
          <a:fillRect/>
        </a:stretch>
      </xdr:blipFill>
      <xdr:spPr>
        <a:xfrm>
          <a:off x="0" y="15351125"/>
          <a:ext cx="7772400" cy="4391025"/>
        </a:xfrm>
        <a:prstGeom prst="rect">
          <a:avLst/>
        </a:prstGeom>
        <a:noFill/>
        <a:ln w="9525">
          <a:noFill/>
          <a:miter lim="800000"/>
          <a:headEnd/>
          <a:tailEnd/>
        </a:ln>
        <a:effectLst/>
      </xdr:spPr>
    </xdr:pic>
    <xdr:clientData/>
  </xdr:twoCellAnchor>
  <xdr:twoCellAnchor>
    <xdr:from>
      <xdr:col>0</xdr:col>
      <xdr:colOff>0</xdr:colOff>
      <xdr:row>112</xdr:row>
      <xdr:rowOff>104775</xdr:rowOff>
    </xdr:from>
    <xdr:to>
      <xdr:col>10</xdr:col>
      <xdr:colOff>47625</xdr:colOff>
      <xdr:row>139</xdr:row>
      <xdr:rowOff>66675</xdr:rowOff>
    </xdr:to>
    <xdr:pic>
      <xdr:nvPicPr>
        <xdr:cNvPr id="13321" name="Object 1024"/>
        <xdr:cNvPicPr>
          <a:picLocks noChangeAspect="1" noChangeArrowheads="1"/>
        </xdr:cNvPicPr>
      </xdr:nvPicPr>
      <xdr:blipFill>
        <a:blip r:embed="rId10" cstate="print"/>
        <a:srcRect/>
        <a:stretch>
          <a:fillRect/>
        </a:stretch>
      </xdr:blipFill>
      <xdr:spPr>
        <a:xfrm>
          <a:off x="0" y="19984085"/>
          <a:ext cx="6562725" cy="4693920"/>
        </a:xfrm>
        <a:prstGeom prst="rect">
          <a:avLst/>
        </a:prstGeom>
        <a:noFill/>
        <a:ln w="9525">
          <a:noFill/>
          <a:miter lim="800000"/>
          <a:headEnd/>
          <a:tailEnd/>
        </a:ln>
        <a:effectLst/>
      </xdr:spPr>
    </xdr:pic>
    <xdr:clientData/>
  </xdr:twoCellAnchor>
  <xdr:twoCellAnchor>
    <xdr:from>
      <xdr:col>0</xdr:col>
      <xdr:colOff>0</xdr:colOff>
      <xdr:row>140</xdr:row>
      <xdr:rowOff>57150</xdr:rowOff>
    </xdr:from>
    <xdr:to>
      <xdr:col>11</xdr:col>
      <xdr:colOff>190500</xdr:colOff>
      <xdr:row>163</xdr:row>
      <xdr:rowOff>152400</xdr:rowOff>
    </xdr:to>
    <xdr:pic>
      <xdr:nvPicPr>
        <xdr:cNvPr id="13322" name="Object 0"/>
        <xdr:cNvPicPr>
          <a:picLocks noChangeAspect="1" noChangeArrowheads="1"/>
        </xdr:cNvPicPr>
      </xdr:nvPicPr>
      <xdr:blipFill>
        <a:blip r:embed="rId11" cstate="print"/>
        <a:srcRect/>
        <a:stretch>
          <a:fillRect/>
        </a:stretch>
      </xdr:blipFill>
      <xdr:spPr>
        <a:xfrm>
          <a:off x="0" y="24843740"/>
          <a:ext cx="7391400" cy="4126230"/>
        </a:xfrm>
        <a:prstGeom prst="rect">
          <a:avLst/>
        </a:prstGeom>
        <a:noFill/>
        <a:ln w="9525">
          <a:noFill/>
          <a:miter lim="800000"/>
          <a:headEnd/>
          <a:tailEnd/>
        </a:ln>
        <a:effectLst/>
      </xdr:spPr>
    </xdr:pic>
    <xdr:clientData/>
  </xdr:twoCellAnchor>
  <xdr:twoCellAnchor editAs="oneCell">
    <xdr:from>
      <xdr:col>7</xdr:col>
      <xdr:colOff>0</xdr:colOff>
      <xdr:row>38</xdr:row>
      <xdr:rowOff>0</xdr:rowOff>
    </xdr:from>
    <xdr:to>
      <xdr:col>9</xdr:col>
      <xdr:colOff>333375</xdr:colOff>
      <xdr:row>57</xdr:row>
      <xdr:rowOff>47625</xdr:rowOff>
    </xdr:to>
    <xdr:pic>
      <xdr:nvPicPr>
        <xdr:cNvPr id="12289" name="Picture 1"/>
        <xdr:cNvPicPr>
          <a:picLocks noChangeAspect="1" noChangeArrowheads="1"/>
        </xdr:cNvPicPr>
      </xdr:nvPicPr>
      <xdr:blipFill>
        <a:blip r:embed="rId12" cstate="print"/>
        <a:srcRect/>
        <a:stretch>
          <a:fillRect/>
        </a:stretch>
      </xdr:blipFill>
      <xdr:spPr>
        <a:xfrm>
          <a:off x="4457700" y="6887210"/>
          <a:ext cx="1704975" cy="339280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1</xdr:col>
      <xdr:colOff>314326</xdr:colOff>
      <xdr:row>0</xdr:row>
      <xdr:rowOff>257175</xdr:rowOff>
    </xdr:to>
    <xdr:sp>
      <xdr:nvSpPr>
        <xdr:cNvPr id="15" name="五边形 14">
          <a:hlinkClick xmlns:r="http://schemas.openxmlformats.org/officeDocument/2006/relationships" r:id="rId13"/>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34.xml><?xml version="1.0" encoding="utf-8"?>
<xdr:wsDr xmlns:xdr="http://schemas.openxmlformats.org/drawingml/2006/spreadsheetDrawing" xmlns:r="http://schemas.openxmlformats.org/officeDocument/2006/relationships" xmlns:a="http://schemas.openxmlformats.org/drawingml/2006/main">
  <xdr:twoCellAnchor>
    <xdr:from>
      <xdr:col>0</xdr:col>
      <xdr:colOff>9525</xdr:colOff>
      <xdr:row>0</xdr:row>
      <xdr:rowOff>19050</xdr:rowOff>
    </xdr:from>
    <xdr:to>
      <xdr:col>0</xdr:col>
      <xdr:colOff>819151</xdr:colOff>
      <xdr:row>0</xdr:row>
      <xdr:rowOff>257175</xdr:rowOff>
    </xdr:to>
    <xdr:sp>
      <xdr:nvSpPr>
        <xdr:cNvPr id="2" name="五边形 1">
          <a:hlinkClick xmlns:r="http://schemas.openxmlformats.org/officeDocument/2006/relationships" r:id="rId1"/>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35.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47625</xdr:colOff>
      <xdr:row>3</xdr:row>
      <xdr:rowOff>9526</xdr:rowOff>
    </xdr:from>
    <xdr:to>
      <xdr:col>0</xdr:col>
      <xdr:colOff>1114425</xdr:colOff>
      <xdr:row>3</xdr:row>
      <xdr:rowOff>769084</xdr:rowOff>
    </xdr:to>
    <xdr:pic>
      <xdr:nvPicPr>
        <xdr:cNvPr id="2" name="Picture 1"/>
        <xdr:cNvPicPr>
          <a:picLocks noChangeAspect="1" noChangeArrowheads="1"/>
        </xdr:cNvPicPr>
      </xdr:nvPicPr>
      <xdr:blipFill>
        <a:blip r:embed="rId1" cstate="print"/>
        <a:srcRect/>
        <a:stretch>
          <a:fillRect/>
        </a:stretch>
      </xdr:blipFill>
      <xdr:spPr>
        <a:xfrm>
          <a:off x="47625" y="1155065"/>
          <a:ext cx="1066800" cy="759460"/>
        </a:xfrm>
        <a:prstGeom prst="rect">
          <a:avLst/>
        </a:prstGeom>
        <a:noFill/>
        <a:ln w="1">
          <a:noFill/>
          <a:miter lim="800000"/>
          <a:headEnd/>
          <a:tailEnd type="none" w="med" len="med"/>
        </a:ln>
        <a:effectLst/>
      </xdr:spPr>
    </xdr:pic>
    <xdr:clientData/>
  </xdr:twoCellAnchor>
  <xdr:twoCellAnchor editAs="oneCell">
    <xdr:from>
      <xdr:col>0</xdr:col>
      <xdr:colOff>238126</xdr:colOff>
      <xdr:row>4</xdr:row>
      <xdr:rowOff>16785</xdr:rowOff>
    </xdr:from>
    <xdr:to>
      <xdr:col>0</xdr:col>
      <xdr:colOff>1295400</xdr:colOff>
      <xdr:row>4</xdr:row>
      <xdr:rowOff>742950</xdr:rowOff>
    </xdr:to>
    <xdr:pic>
      <xdr:nvPicPr>
        <xdr:cNvPr id="12292" name="Picture 4"/>
        <xdr:cNvPicPr>
          <a:picLocks noChangeAspect="1" noChangeArrowheads="1"/>
        </xdr:cNvPicPr>
      </xdr:nvPicPr>
      <xdr:blipFill>
        <a:blip r:embed="rId2" cstate="print"/>
        <a:srcRect/>
        <a:stretch>
          <a:fillRect/>
        </a:stretch>
      </xdr:blipFill>
      <xdr:spPr>
        <a:xfrm>
          <a:off x="238125" y="1943100"/>
          <a:ext cx="1057275" cy="726440"/>
        </a:xfrm>
        <a:prstGeom prst="rect">
          <a:avLst/>
        </a:prstGeom>
        <a:noFill/>
        <a:ln w="1">
          <a:noFill/>
          <a:miter lim="800000"/>
          <a:headEnd/>
          <a:tailEnd type="none" w="med" len="med"/>
        </a:ln>
        <a:effectLst/>
      </xdr:spPr>
    </xdr:pic>
    <xdr:clientData/>
  </xdr:twoCellAnchor>
  <xdr:twoCellAnchor editAs="oneCell">
    <xdr:from>
      <xdr:col>0</xdr:col>
      <xdr:colOff>304800</xdr:colOff>
      <xdr:row>7</xdr:row>
      <xdr:rowOff>10215</xdr:rowOff>
    </xdr:from>
    <xdr:to>
      <xdr:col>0</xdr:col>
      <xdr:colOff>1114425</xdr:colOff>
      <xdr:row>8</xdr:row>
      <xdr:rowOff>0</xdr:rowOff>
    </xdr:to>
    <xdr:pic>
      <xdr:nvPicPr>
        <xdr:cNvPr id="12296" name="Picture 8"/>
        <xdr:cNvPicPr>
          <a:picLocks noChangeAspect="1" noChangeArrowheads="1"/>
        </xdr:cNvPicPr>
      </xdr:nvPicPr>
      <xdr:blipFill>
        <a:blip r:embed="rId3" cstate="print"/>
        <a:srcRect/>
        <a:stretch>
          <a:fillRect/>
        </a:stretch>
      </xdr:blipFill>
      <xdr:spPr>
        <a:xfrm>
          <a:off x="304800" y="4222750"/>
          <a:ext cx="809625" cy="751840"/>
        </a:xfrm>
        <a:prstGeom prst="rect">
          <a:avLst/>
        </a:prstGeom>
        <a:noFill/>
        <a:ln w="1">
          <a:noFill/>
          <a:miter lim="800000"/>
          <a:headEnd/>
          <a:tailEnd type="none" w="med" len="med"/>
        </a:ln>
        <a:effectLst/>
      </xdr:spPr>
    </xdr:pic>
    <xdr:clientData/>
  </xdr:twoCellAnchor>
  <xdr:twoCellAnchor editAs="oneCell">
    <xdr:from>
      <xdr:col>0</xdr:col>
      <xdr:colOff>323851</xdr:colOff>
      <xdr:row>8</xdr:row>
      <xdr:rowOff>66675</xdr:rowOff>
    </xdr:from>
    <xdr:to>
      <xdr:col>0</xdr:col>
      <xdr:colOff>1205540</xdr:colOff>
      <xdr:row>8</xdr:row>
      <xdr:rowOff>704850</xdr:rowOff>
    </xdr:to>
    <xdr:pic>
      <xdr:nvPicPr>
        <xdr:cNvPr id="12301" name="Picture 13"/>
        <xdr:cNvPicPr>
          <a:picLocks noChangeAspect="1" noChangeArrowheads="1"/>
        </xdr:cNvPicPr>
      </xdr:nvPicPr>
      <xdr:blipFill>
        <a:blip r:embed="rId4" cstate="print"/>
        <a:srcRect/>
        <a:stretch>
          <a:fillRect/>
        </a:stretch>
      </xdr:blipFill>
      <xdr:spPr>
        <a:xfrm>
          <a:off x="323850" y="5041265"/>
          <a:ext cx="881380" cy="638175"/>
        </a:xfrm>
        <a:prstGeom prst="rect">
          <a:avLst/>
        </a:prstGeom>
        <a:noFill/>
        <a:ln w="1">
          <a:noFill/>
          <a:miter lim="800000"/>
          <a:headEnd/>
          <a:tailEnd type="none" w="med" len="med"/>
        </a:ln>
        <a:effectLst/>
      </xdr:spPr>
    </xdr:pic>
    <xdr:clientData/>
  </xdr:twoCellAnchor>
  <xdr:twoCellAnchor editAs="oneCell">
    <xdr:from>
      <xdr:col>0</xdr:col>
      <xdr:colOff>209550</xdr:colOff>
      <xdr:row>5</xdr:row>
      <xdr:rowOff>38100</xdr:rowOff>
    </xdr:from>
    <xdr:to>
      <xdr:col>0</xdr:col>
      <xdr:colOff>1095375</xdr:colOff>
      <xdr:row>5</xdr:row>
      <xdr:rowOff>722877</xdr:rowOff>
    </xdr:to>
    <xdr:pic>
      <xdr:nvPicPr>
        <xdr:cNvPr id="12304" name="Picture 16"/>
        <xdr:cNvPicPr>
          <a:picLocks noChangeAspect="1" noChangeArrowheads="1"/>
        </xdr:cNvPicPr>
      </xdr:nvPicPr>
      <xdr:blipFill>
        <a:blip r:embed="rId5" cstate="print"/>
        <a:srcRect/>
        <a:stretch>
          <a:fillRect/>
        </a:stretch>
      </xdr:blipFill>
      <xdr:spPr>
        <a:xfrm>
          <a:off x="209550" y="2726690"/>
          <a:ext cx="885825" cy="684530"/>
        </a:xfrm>
        <a:prstGeom prst="rect">
          <a:avLst/>
        </a:prstGeom>
        <a:noFill/>
        <a:ln w="1">
          <a:noFill/>
          <a:miter lim="800000"/>
          <a:headEnd/>
          <a:tailEnd type="none" w="med" len="med"/>
        </a:ln>
        <a:effectLst/>
      </xdr:spPr>
    </xdr:pic>
    <xdr:clientData/>
  </xdr:twoCellAnchor>
  <xdr:twoCellAnchor editAs="oneCell">
    <xdr:from>
      <xdr:col>0</xdr:col>
      <xdr:colOff>0</xdr:colOff>
      <xdr:row>9</xdr:row>
      <xdr:rowOff>171450</xdr:rowOff>
    </xdr:from>
    <xdr:to>
      <xdr:col>0</xdr:col>
      <xdr:colOff>1457325</xdr:colOff>
      <xdr:row>9</xdr:row>
      <xdr:rowOff>657226</xdr:rowOff>
    </xdr:to>
    <xdr:pic>
      <xdr:nvPicPr>
        <xdr:cNvPr id="12305" name="Picture 17"/>
        <xdr:cNvPicPr>
          <a:picLocks noChangeAspect="1" noChangeArrowheads="1"/>
        </xdr:cNvPicPr>
      </xdr:nvPicPr>
      <xdr:blipFill>
        <a:blip r:embed="rId6" cstate="print"/>
        <a:srcRect/>
        <a:stretch>
          <a:fillRect/>
        </a:stretch>
      </xdr:blipFill>
      <xdr:spPr>
        <a:xfrm>
          <a:off x="0" y="5908040"/>
          <a:ext cx="1457325" cy="485775"/>
        </a:xfrm>
        <a:prstGeom prst="rect">
          <a:avLst/>
        </a:prstGeom>
        <a:noFill/>
        <a:ln w="1">
          <a:noFill/>
          <a:miter lim="800000"/>
          <a:headEnd/>
          <a:tailEnd type="none" w="med" len="med"/>
        </a:ln>
        <a:effectLst/>
      </xdr:spPr>
    </xdr:pic>
    <xdr:clientData/>
  </xdr:twoCellAnchor>
  <xdr:twoCellAnchor editAs="oneCell">
    <xdr:from>
      <xdr:col>0</xdr:col>
      <xdr:colOff>38101</xdr:colOff>
      <xdr:row>10</xdr:row>
      <xdr:rowOff>85727</xdr:rowOff>
    </xdr:from>
    <xdr:to>
      <xdr:col>0</xdr:col>
      <xdr:colOff>1503219</xdr:colOff>
      <xdr:row>10</xdr:row>
      <xdr:rowOff>685801</xdr:rowOff>
    </xdr:to>
    <xdr:pic>
      <xdr:nvPicPr>
        <xdr:cNvPr id="12307" name="Picture 19"/>
        <xdr:cNvPicPr>
          <a:picLocks noChangeAspect="1" noChangeArrowheads="1"/>
        </xdr:cNvPicPr>
      </xdr:nvPicPr>
      <xdr:blipFill>
        <a:blip r:embed="rId7" cstate="print"/>
        <a:srcRect/>
        <a:stretch>
          <a:fillRect/>
        </a:stretch>
      </xdr:blipFill>
      <xdr:spPr>
        <a:xfrm>
          <a:off x="38100" y="6584315"/>
          <a:ext cx="1464945" cy="600075"/>
        </a:xfrm>
        <a:prstGeom prst="rect">
          <a:avLst/>
        </a:prstGeom>
        <a:noFill/>
        <a:ln w="1">
          <a:noFill/>
          <a:miter lim="800000"/>
          <a:headEnd/>
          <a:tailEnd type="none" w="med" len="med"/>
        </a:ln>
        <a:effectLst/>
      </xdr:spPr>
    </xdr:pic>
    <xdr:clientData/>
  </xdr:twoCellAnchor>
  <xdr:twoCellAnchor editAs="oneCell">
    <xdr:from>
      <xdr:col>0</xdr:col>
      <xdr:colOff>142875</xdr:colOff>
      <xdr:row>11</xdr:row>
      <xdr:rowOff>19050</xdr:rowOff>
    </xdr:from>
    <xdr:to>
      <xdr:col>0</xdr:col>
      <xdr:colOff>1276350</xdr:colOff>
      <xdr:row>11</xdr:row>
      <xdr:rowOff>733425</xdr:rowOff>
    </xdr:to>
    <xdr:pic>
      <xdr:nvPicPr>
        <xdr:cNvPr id="17" name="Picture 22"/>
        <xdr:cNvPicPr>
          <a:picLocks noChangeAspect="1" noChangeArrowheads="1"/>
        </xdr:cNvPicPr>
      </xdr:nvPicPr>
      <xdr:blipFill>
        <a:blip r:embed="rId8" cstate="print"/>
        <a:srcRect/>
        <a:stretch>
          <a:fillRect/>
        </a:stretch>
      </xdr:blipFill>
      <xdr:spPr>
        <a:xfrm>
          <a:off x="142875" y="7279640"/>
          <a:ext cx="1133475" cy="714375"/>
        </a:xfrm>
        <a:prstGeom prst="rect">
          <a:avLst/>
        </a:prstGeom>
        <a:noFill/>
        <a:ln w="1">
          <a:noFill/>
          <a:miter lim="800000"/>
          <a:headEnd/>
          <a:tailEnd type="none" w="med" len="med"/>
        </a:ln>
        <a:effectLst/>
      </xdr:spPr>
    </xdr:pic>
    <xdr:clientData/>
  </xdr:twoCellAnchor>
  <xdr:twoCellAnchor editAs="oneCell">
    <xdr:from>
      <xdr:col>0</xdr:col>
      <xdr:colOff>304800</xdr:colOff>
      <xdr:row>6</xdr:row>
      <xdr:rowOff>95249</xdr:rowOff>
    </xdr:from>
    <xdr:to>
      <xdr:col>0</xdr:col>
      <xdr:colOff>1038225</xdr:colOff>
      <xdr:row>6</xdr:row>
      <xdr:rowOff>719848</xdr:rowOff>
    </xdr:to>
    <xdr:pic>
      <xdr:nvPicPr>
        <xdr:cNvPr id="12312" name="Picture 24"/>
        <xdr:cNvPicPr>
          <a:picLocks noChangeAspect="1" noChangeArrowheads="1"/>
        </xdr:cNvPicPr>
      </xdr:nvPicPr>
      <xdr:blipFill>
        <a:blip r:embed="rId9" cstate="print"/>
        <a:srcRect/>
        <a:stretch>
          <a:fillRect/>
        </a:stretch>
      </xdr:blipFill>
      <xdr:spPr>
        <a:xfrm>
          <a:off x="304800" y="3545205"/>
          <a:ext cx="733425" cy="624840"/>
        </a:xfrm>
        <a:prstGeom prst="rect">
          <a:avLst/>
        </a:prstGeom>
        <a:noFill/>
        <a:ln w="1">
          <a:noFill/>
          <a:miter lim="800000"/>
          <a:headEnd/>
          <a:tailEnd type="none" w="med" len="med"/>
        </a:ln>
        <a:effectLst/>
      </xdr:spPr>
    </xdr:pic>
    <xdr:clientData/>
  </xdr:twoCellAnchor>
  <xdr:twoCellAnchor editAs="oneCell">
    <xdr:from>
      <xdr:col>0</xdr:col>
      <xdr:colOff>1171575</xdr:colOff>
      <xdr:row>3</xdr:row>
      <xdr:rowOff>38100</xdr:rowOff>
    </xdr:from>
    <xdr:to>
      <xdr:col>0</xdr:col>
      <xdr:colOff>1485899</xdr:colOff>
      <xdr:row>3</xdr:row>
      <xdr:rowOff>750570</xdr:rowOff>
    </xdr:to>
    <xdr:pic>
      <xdr:nvPicPr>
        <xdr:cNvPr id="12314" name="Picture 26"/>
        <xdr:cNvPicPr>
          <a:picLocks noChangeAspect="1" noChangeArrowheads="1"/>
        </xdr:cNvPicPr>
      </xdr:nvPicPr>
      <xdr:blipFill>
        <a:blip r:embed="rId10" cstate="print"/>
        <a:srcRect/>
        <a:stretch>
          <a:fillRect/>
        </a:stretch>
      </xdr:blipFill>
      <xdr:spPr>
        <a:xfrm>
          <a:off x="1171575" y="1183640"/>
          <a:ext cx="313690" cy="712470"/>
        </a:xfrm>
        <a:prstGeom prst="rect">
          <a:avLst/>
        </a:prstGeom>
        <a:noFill/>
        <a:ln w="1">
          <a:noFill/>
          <a:miter lim="800000"/>
          <a:headEnd/>
          <a:tailEnd type="none" w="med" len="med"/>
        </a:ln>
        <a:effectLst/>
      </xdr:spPr>
    </xdr:pic>
    <xdr:clientData/>
  </xdr:twoCellAnchor>
  <xdr:twoCellAnchor editAs="oneCell">
    <xdr:from>
      <xdr:col>0</xdr:col>
      <xdr:colOff>0</xdr:colOff>
      <xdr:row>12</xdr:row>
      <xdr:rowOff>19051</xdr:rowOff>
    </xdr:from>
    <xdr:to>
      <xdr:col>0</xdr:col>
      <xdr:colOff>1247775</xdr:colOff>
      <xdr:row>12</xdr:row>
      <xdr:rowOff>733425</xdr:rowOff>
    </xdr:to>
    <xdr:pic>
      <xdr:nvPicPr>
        <xdr:cNvPr id="12315" name="Picture 27"/>
        <xdr:cNvPicPr>
          <a:picLocks noChangeAspect="1" noChangeArrowheads="1"/>
        </xdr:cNvPicPr>
      </xdr:nvPicPr>
      <xdr:blipFill>
        <a:blip r:embed="rId11" cstate="print"/>
        <a:srcRect/>
        <a:stretch>
          <a:fillRect/>
        </a:stretch>
      </xdr:blipFill>
      <xdr:spPr>
        <a:xfrm>
          <a:off x="0" y="8041640"/>
          <a:ext cx="1247775" cy="714375"/>
        </a:xfrm>
        <a:prstGeom prst="rect">
          <a:avLst/>
        </a:prstGeom>
        <a:noFill/>
        <a:ln w="1">
          <a:noFill/>
          <a:miter lim="800000"/>
          <a:headEnd/>
          <a:tailEnd type="none" w="med" len="med"/>
        </a:ln>
        <a:effectLst/>
      </xdr:spPr>
    </xdr:pic>
    <xdr:clientData/>
  </xdr:twoCellAnchor>
  <xdr:twoCellAnchor editAs="oneCell">
    <xdr:from>
      <xdr:col>0</xdr:col>
      <xdr:colOff>9526</xdr:colOff>
      <xdr:row>17</xdr:row>
      <xdr:rowOff>57151</xdr:rowOff>
    </xdr:from>
    <xdr:to>
      <xdr:col>0</xdr:col>
      <xdr:colOff>1485900</xdr:colOff>
      <xdr:row>17</xdr:row>
      <xdr:rowOff>819150</xdr:rowOff>
    </xdr:to>
    <xdr:pic>
      <xdr:nvPicPr>
        <xdr:cNvPr id="12326" name="Picture 38"/>
        <xdr:cNvPicPr>
          <a:picLocks noChangeAspect="1" noChangeArrowheads="1"/>
        </xdr:cNvPicPr>
      </xdr:nvPicPr>
      <xdr:blipFill>
        <a:blip r:embed="rId12" cstate="print"/>
        <a:srcRect/>
        <a:stretch>
          <a:fillRect/>
        </a:stretch>
      </xdr:blipFill>
      <xdr:spPr>
        <a:xfrm>
          <a:off x="9525" y="10613390"/>
          <a:ext cx="1476375" cy="762000"/>
        </a:xfrm>
        <a:prstGeom prst="rect">
          <a:avLst/>
        </a:prstGeom>
        <a:noFill/>
        <a:ln w="1">
          <a:noFill/>
          <a:miter lim="800000"/>
          <a:headEnd/>
          <a:tailEnd type="none" w="med" len="med"/>
        </a:ln>
        <a:effectLst/>
      </xdr:spPr>
    </xdr:pic>
    <xdr:clientData/>
  </xdr:twoCellAnchor>
  <xdr:twoCellAnchor editAs="oneCell">
    <xdr:from>
      <xdr:col>0</xdr:col>
      <xdr:colOff>1</xdr:colOff>
      <xdr:row>18</xdr:row>
      <xdr:rowOff>38101</xdr:rowOff>
    </xdr:from>
    <xdr:to>
      <xdr:col>0</xdr:col>
      <xdr:colOff>1438275</xdr:colOff>
      <xdr:row>18</xdr:row>
      <xdr:rowOff>523875</xdr:rowOff>
    </xdr:to>
    <xdr:pic>
      <xdr:nvPicPr>
        <xdr:cNvPr id="12333" name="Picture 45"/>
        <xdr:cNvPicPr>
          <a:picLocks noChangeAspect="1" noChangeArrowheads="1"/>
        </xdr:cNvPicPr>
      </xdr:nvPicPr>
      <xdr:blipFill>
        <a:blip r:embed="rId13" cstate="print"/>
        <a:srcRect/>
        <a:stretch>
          <a:fillRect/>
        </a:stretch>
      </xdr:blipFill>
      <xdr:spPr>
        <a:xfrm>
          <a:off x="0" y="11482705"/>
          <a:ext cx="1438275" cy="485775"/>
        </a:xfrm>
        <a:prstGeom prst="rect">
          <a:avLst/>
        </a:prstGeom>
        <a:noFill/>
        <a:ln w="1">
          <a:noFill/>
          <a:miter lim="800000"/>
          <a:headEnd/>
          <a:tailEnd type="none" w="med" len="med"/>
        </a:ln>
        <a:effectLst/>
      </xdr:spPr>
    </xdr:pic>
    <xdr:clientData/>
  </xdr:twoCellAnchor>
  <xdr:twoCellAnchor editAs="oneCell">
    <xdr:from>
      <xdr:col>0</xdr:col>
      <xdr:colOff>57151</xdr:colOff>
      <xdr:row>20</xdr:row>
      <xdr:rowOff>38100</xdr:rowOff>
    </xdr:from>
    <xdr:to>
      <xdr:col>0</xdr:col>
      <xdr:colOff>1447800</xdr:colOff>
      <xdr:row>20</xdr:row>
      <xdr:rowOff>819149</xdr:rowOff>
    </xdr:to>
    <xdr:pic>
      <xdr:nvPicPr>
        <xdr:cNvPr id="12336" name="Picture 48"/>
        <xdr:cNvPicPr>
          <a:picLocks noChangeAspect="1" noChangeArrowheads="1"/>
        </xdr:cNvPicPr>
      </xdr:nvPicPr>
      <xdr:blipFill>
        <a:blip r:embed="rId14" cstate="print"/>
        <a:srcRect/>
        <a:stretch>
          <a:fillRect/>
        </a:stretch>
      </xdr:blipFill>
      <xdr:spPr>
        <a:xfrm>
          <a:off x="57150" y="12606655"/>
          <a:ext cx="1390650" cy="780415"/>
        </a:xfrm>
        <a:prstGeom prst="rect">
          <a:avLst/>
        </a:prstGeom>
        <a:noFill/>
        <a:ln w="1">
          <a:noFill/>
          <a:miter lim="800000"/>
          <a:headEnd/>
          <a:tailEnd type="none" w="med" len="med"/>
        </a:ln>
        <a:effectLst/>
      </xdr:spPr>
    </xdr:pic>
    <xdr:clientData/>
  </xdr:twoCellAnchor>
  <xdr:oneCellAnchor>
    <xdr:from>
      <xdr:col>0</xdr:col>
      <xdr:colOff>590550</xdr:colOff>
      <xdr:row>20</xdr:row>
      <xdr:rowOff>704850</xdr:rowOff>
    </xdr:from>
    <xdr:ext cx="824713" cy="275717"/>
    <xdr:sp>
      <xdr:nvSpPr>
        <xdr:cNvPr id="35" name="TextBox 34"/>
        <xdr:cNvSpPr txBox="1"/>
      </xdr:nvSpPr>
      <xdr:spPr>
        <a:xfrm>
          <a:off x="590550" y="13273405"/>
          <a:ext cx="824230" cy="2755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zh-CN" altLang="en-US" sz="1100"/>
            <a:t>丝杆效率</a:t>
          </a:r>
          <a:r>
            <a:rPr lang="el-GR" altLang="zh-CN" sz="1100"/>
            <a:t>η</a:t>
          </a:r>
          <a:endParaRPr lang="zh-CN" altLang="en-US" sz="1100"/>
        </a:p>
      </xdr:txBody>
    </xdr:sp>
    <xdr:clientData/>
  </xdr:oneCellAnchor>
  <xdr:twoCellAnchor editAs="oneCell">
    <xdr:from>
      <xdr:col>0</xdr:col>
      <xdr:colOff>200026</xdr:colOff>
      <xdr:row>19</xdr:row>
      <xdr:rowOff>28575</xdr:rowOff>
    </xdr:from>
    <xdr:to>
      <xdr:col>0</xdr:col>
      <xdr:colOff>1171576</xdr:colOff>
      <xdr:row>20</xdr:row>
      <xdr:rowOff>0</xdr:rowOff>
    </xdr:to>
    <xdr:pic>
      <xdr:nvPicPr>
        <xdr:cNvPr id="12339" name="Picture 51"/>
        <xdr:cNvPicPr>
          <a:picLocks noChangeAspect="1" noChangeArrowheads="1"/>
        </xdr:cNvPicPr>
      </xdr:nvPicPr>
      <xdr:blipFill>
        <a:blip r:embed="rId15" cstate="print"/>
        <a:srcRect/>
        <a:stretch>
          <a:fillRect/>
        </a:stretch>
      </xdr:blipFill>
      <xdr:spPr>
        <a:xfrm>
          <a:off x="200025" y="12054205"/>
          <a:ext cx="971550" cy="514350"/>
        </a:xfrm>
        <a:prstGeom prst="rect">
          <a:avLst/>
        </a:prstGeom>
        <a:noFill/>
        <a:ln w="1">
          <a:noFill/>
          <a:miter lim="800000"/>
          <a:headEnd/>
          <a:tailEnd type="none" w="med" len="med"/>
        </a:ln>
        <a:effectLst/>
      </xdr:spPr>
    </xdr:pic>
    <xdr:clientData/>
  </xdr:twoCellAnchor>
  <xdr:twoCellAnchor editAs="oneCell">
    <xdr:from>
      <xdr:col>3</xdr:col>
      <xdr:colOff>9526</xdr:colOff>
      <xdr:row>13</xdr:row>
      <xdr:rowOff>9525</xdr:rowOff>
    </xdr:from>
    <xdr:to>
      <xdr:col>4</xdr:col>
      <xdr:colOff>295275</xdr:colOff>
      <xdr:row>13</xdr:row>
      <xdr:rowOff>904875</xdr:rowOff>
    </xdr:to>
    <xdr:pic>
      <xdr:nvPicPr>
        <xdr:cNvPr id="38" name="Picture 8"/>
        <xdr:cNvPicPr>
          <a:picLocks noChangeAspect="1" noChangeArrowheads="1"/>
        </xdr:cNvPicPr>
      </xdr:nvPicPr>
      <xdr:blipFill>
        <a:blip r:embed="rId16" cstate="print"/>
        <a:srcRect/>
        <a:stretch>
          <a:fillRect/>
        </a:stretch>
      </xdr:blipFill>
      <xdr:spPr>
        <a:xfrm>
          <a:off x="3657600" y="8794115"/>
          <a:ext cx="790575" cy="895350"/>
        </a:xfrm>
        <a:prstGeom prst="rect">
          <a:avLst/>
        </a:prstGeom>
        <a:noFill/>
      </xdr:spPr>
    </xdr:pic>
    <xdr:clientData/>
  </xdr:twoCellAnchor>
  <xdr:twoCellAnchor editAs="oneCell">
    <xdr:from>
      <xdr:col>4</xdr:col>
      <xdr:colOff>304799</xdr:colOff>
      <xdr:row>13</xdr:row>
      <xdr:rowOff>9525</xdr:rowOff>
    </xdr:from>
    <xdr:to>
      <xdr:col>5</xdr:col>
      <xdr:colOff>495300</xdr:colOff>
      <xdr:row>13</xdr:row>
      <xdr:rowOff>904874</xdr:rowOff>
    </xdr:to>
    <xdr:pic>
      <xdr:nvPicPr>
        <xdr:cNvPr id="39" name="Picture 14"/>
        <xdr:cNvPicPr>
          <a:picLocks noChangeAspect="1" noChangeArrowheads="1"/>
        </xdr:cNvPicPr>
      </xdr:nvPicPr>
      <xdr:blipFill>
        <a:blip r:embed="rId17" cstate="print"/>
        <a:srcRect/>
        <a:stretch>
          <a:fillRect/>
        </a:stretch>
      </xdr:blipFill>
      <xdr:spPr>
        <a:xfrm>
          <a:off x="4457065" y="8794115"/>
          <a:ext cx="695960" cy="894715"/>
        </a:xfrm>
        <a:prstGeom prst="rect">
          <a:avLst/>
        </a:prstGeom>
        <a:noFill/>
      </xdr:spPr>
    </xdr:pic>
    <xdr:clientData/>
  </xdr:twoCellAnchor>
  <xdr:twoCellAnchor editAs="oneCell">
    <xdr:from>
      <xdr:col>6</xdr:col>
      <xdr:colOff>0</xdr:colOff>
      <xdr:row>13</xdr:row>
      <xdr:rowOff>19050</xdr:rowOff>
    </xdr:from>
    <xdr:to>
      <xdr:col>7</xdr:col>
      <xdr:colOff>371475</xdr:colOff>
      <xdr:row>13</xdr:row>
      <xdr:rowOff>904875</xdr:rowOff>
    </xdr:to>
    <xdr:pic>
      <xdr:nvPicPr>
        <xdr:cNvPr id="41" name="Picture 2"/>
        <xdr:cNvPicPr>
          <a:picLocks noChangeAspect="1" noChangeArrowheads="1"/>
        </xdr:cNvPicPr>
      </xdr:nvPicPr>
      <xdr:blipFill>
        <a:blip r:embed="rId18" cstate="print"/>
        <a:srcRect/>
        <a:stretch>
          <a:fillRect/>
        </a:stretch>
      </xdr:blipFill>
      <xdr:spPr>
        <a:xfrm>
          <a:off x="5162550" y="8803640"/>
          <a:ext cx="876300" cy="885825"/>
        </a:xfrm>
        <a:prstGeom prst="rect">
          <a:avLst/>
        </a:prstGeom>
        <a:noFill/>
      </xdr:spPr>
    </xdr:pic>
    <xdr:clientData/>
  </xdr:twoCellAnchor>
  <xdr:twoCellAnchor editAs="oneCell">
    <xdr:from>
      <xdr:col>7</xdr:col>
      <xdr:colOff>381000</xdr:colOff>
      <xdr:row>13</xdr:row>
      <xdr:rowOff>19051</xdr:rowOff>
    </xdr:from>
    <xdr:to>
      <xdr:col>8</xdr:col>
      <xdr:colOff>695325</xdr:colOff>
      <xdr:row>13</xdr:row>
      <xdr:rowOff>895351</xdr:rowOff>
    </xdr:to>
    <xdr:pic>
      <xdr:nvPicPr>
        <xdr:cNvPr id="42" name="Picture 5"/>
        <xdr:cNvPicPr>
          <a:picLocks noChangeAspect="1" noChangeArrowheads="1"/>
        </xdr:cNvPicPr>
      </xdr:nvPicPr>
      <xdr:blipFill>
        <a:blip r:embed="rId19" cstate="print"/>
        <a:srcRect/>
        <a:stretch>
          <a:fillRect/>
        </a:stretch>
      </xdr:blipFill>
      <xdr:spPr>
        <a:xfrm>
          <a:off x="6048375" y="8803640"/>
          <a:ext cx="819150" cy="876300"/>
        </a:xfrm>
        <a:prstGeom prst="rect">
          <a:avLst/>
        </a:prstGeom>
        <a:noFill/>
      </xdr:spPr>
    </xdr:pic>
    <xdr:clientData/>
  </xdr:twoCellAnchor>
  <xdr:twoCellAnchor editAs="oneCell">
    <xdr:from>
      <xdr:col>9</xdr:col>
      <xdr:colOff>0</xdr:colOff>
      <xdr:row>13</xdr:row>
      <xdr:rowOff>19050</xdr:rowOff>
    </xdr:from>
    <xdr:to>
      <xdr:col>9</xdr:col>
      <xdr:colOff>904875</xdr:colOff>
      <xdr:row>13</xdr:row>
      <xdr:rowOff>904875</xdr:rowOff>
    </xdr:to>
    <xdr:pic>
      <xdr:nvPicPr>
        <xdr:cNvPr id="43" name="Picture 10"/>
        <xdr:cNvPicPr>
          <a:picLocks noChangeAspect="1" noChangeArrowheads="1"/>
        </xdr:cNvPicPr>
      </xdr:nvPicPr>
      <xdr:blipFill>
        <a:blip r:embed="rId20" cstate="print"/>
        <a:srcRect/>
        <a:stretch>
          <a:fillRect/>
        </a:stretch>
      </xdr:blipFill>
      <xdr:spPr>
        <a:xfrm>
          <a:off x="6877050" y="8803640"/>
          <a:ext cx="904875" cy="885825"/>
        </a:xfrm>
        <a:prstGeom prst="rect">
          <a:avLst/>
        </a:prstGeom>
        <a:noFill/>
      </xdr:spPr>
    </xdr:pic>
    <xdr:clientData/>
  </xdr:twoCellAnchor>
  <xdr:twoCellAnchor editAs="oneCell">
    <xdr:from>
      <xdr:col>0</xdr:col>
      <xdr:colOff>19050</xdr:colOff>
      <xdr:row>2</xdr:row>
      <xdr:rowOff>19050</xdr:rowOff>
    </xdr:from>
    <xdr:to>
      <xdr:col>0</xdr:col>
      <xdr:colOff>1409700</xdr:colOff>
      <xdr:row>2</xdr:row>
      <xdr:rowOff>628649</xdr:rowOff>
    </xdr:to>
    <xdr:pic>
      <xdr:nvPicPr>
        <xdr:cNvPr id="12345" name="Picture 57"/>
        <xdr:cNvPicPr>
          <a:picLocks noChangeAspect="1" noChangeArrowheads="1"/>
        </xdr:cNvPicPr>
      </xdr:nvPicPr>
      <xdr:blipFill>
        <a:blip r:embed="rId21" cstate="print"/>
        <a:srcRect/>
        <a:stretch>
          <a:fillRect/>
        </a:stretch>
      </xdr:blipFill>
      <xdr:spPr>
        <a:xfrm>
          <a:off x="19050" y="526415"/>
          <a:ext cx="1390650" cy="608965"/>
        </a:xfrm>
        <a:prstGeom prst="rect">
          <a:avLst/>
        </a:prstGeom>
        <a:noFill/>
        <a:ln w="1">
          <a:noFill/>
          <a:miter lim="800000"/>
          <a:headEnd/>
          <a:tailEnd type="none" w="med" len="med"/>
        </a:ln>
        <a:effectLst/>
      </xdr:spPr>
    </xdr:pic>
    <xdr:clientData/>
  </xdr:twoCellAnchor>
  <xdr:twoCellAnchor editAs="oneCell">
    <xdr:from>
      <xdr:col>0</xdr:col>
      <xdr:colOff>1</xdr:colOff>
      <xdr:row>21</xdr:row>
      <xdr:rowOff>9525</xdr:rowOff>
    </xdr:from>
    <xdr:to>
      <xdr:col>0</xdr:col>
      <xdr:colOff>704850</xdr:colOff>
      <xdr:row>21</xdr:row>
      <xdr:rowOff>573405</xdr:rowOff>
    </xdr:to>
    <xdr:pic>
      <xdr:nvPicPr>
        <xdr:cNvPr id="12358" name="Picture 70"/>
        <xdr:cNvPicPr>
          <a:picLocks noChangeAspect="1" noChangeArrowheads="1"/>
        </xdr:cNvPicPr>
      </xdr:nvPicPr>
      <xdr:blipFill>
        <a:blip r:embed="rId22" cstate="print"/>
        <a:srcRect/>
        <a:stretch>
          <a:fillRect/>
        </a:stretch>
      </xdr:blipFill>
      <xdr:spPr>
        <a:xfrm>
          <a:off x="0" y="13466445"/>
          <a:ext cx="704850" cy="563880"/>
        </a:xfrm>
        <a:prstGeom prst="rect">
          <a:avLst/>
        </a:prstGeom>
        <a:noFill/>
        <a:ln w="1">
          <a:noFill/>
          <a:miter lim="800000"/>
          <a:headEnd/>
          <a:tailEnd type="none" w="med" len="med"/>
        </a:ln>
        <a:effectLst/>
      </xdr:spPr>
    </xdr:pic>
    <xdr:clientData/>
  </xdr:twoCellAnchor>
  <xdr:twoCellAnchor editAs="oneCell">
    <xdr:from>
      <xdr:col>0</xdr:col>
      <xdr:colOff>676276</xdr:colOff>
      <xdr:row>21</xdr:row>
      <xdr:rowOff>183266</xdr:rowOff>
    </xdr:from>
    <xdr:to>
      <xdr:col>0</xdr:col>
      <xdr:colOff>1514476</xdr:colOff>
      <xdr:row>21</xdr:row>
      <xdr:rowOff>877013</xdr:rowOff>
    </xdr:to>
    <xdr:pic>
      <xdr:nvPicPr>
        <xdr:cNvPr id="12359" name="Picture 71"/>
        <xdr:cNvPicPr>
          <a:picLocks noChangeAspect="1" noChangeArrowheads="1"/>
        </xdr:cNvPicPr>
      </xdr:nvPicPr>
      <xdr:blipFill>
        <a:blip r:embed="rId23" cstate="print"/>
        <a:srcRect/>
        <a:stretch>
          <a:fillRect/>
        </a:stretch>
      </xdr:blipFill>
      <xdr:spPr>
        <a:xfrm>
          <a:off x="676275" y="13639800"/>
          <a:ext cx="838200" cy="694055"/>
        </a:xfrm>
        <a:prstGeom prst="rect">
          <a:avLst/>
        </a:prstGeom>
        <a:noFill/>
        <a:ln w="1">
          <a:noFill/>
          <a:miter lim="800000"/>
          <a:headEnd/>
          <a:tailEnd type="none" w="med" len="med"/>
        </a:ln>
        <a:effectLst/>
      </xdr:spPr>
    </xdr:pic>
    <xdr:clientData/>
  </xdr:twoCellAnchor>
  <xdr:twoCellAnchor editAs="oneCell">
    <xdr:from>
      <xdr:col>6</xdr:col>
      <xdr:colOff>9525</xdr:colOff>
      <xdr:row>23</xdr:row>
      <xdr:rowOff>9525</xdr:rowOff>
    </xdr:from>
    <xdr:to>
      <xdr:col>9</xdr:col>
      <xdr:colOff>409575</xdr:colOff>
      <xdr:row>34</xdr:row>
      <xdr:rowOff>47625</xdr:rowOff>
    </xdr:to>
    <xdr:pic>
      <xdr:nvPicPr>
        <xdr:cNvPr id="27" name="Picture 4"/>
        <xdr:cNvPicPr>
          <a:picLocks noChangeAspect="1" noChangeArrowheads="1"/>
        </xdr:cNvPicPr>
      </xdr:nvPicPr>
      <xdr:blipFill>
        <a:blip r:embed="rId24" cstate="print"/>
        <a:srcRect/>
        <a:stretch>
          <a:fillRect/>
        </a:stretch>
      </xdr:blipFill>
      <xdr:spPr>
        <a:xfrm>
          <a:off x="5172075" y="14516735"/>
          <a:ext cx="2114550" cy="2028825"/>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28" name="五边形 27">
          <a:hlinkClick xmlns:r="http://schemas.openxmlformats.org/officeDocument/2006/relationships" r:id="rId25"/>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mc:AlternateContent xmlns:mc="http://schemas.openxmlformats.org/markup-compatibility/2006">
    <mc:Choice xmlns:a14="http://schemas.microsoft.com/office/drawing/2010/main" Requires="a14">
      <xdr:twoCellAnchor editAs="oneCell">
        <xdr:from>
          <xdr:col>2</xdr:col>
          <xdr:colOff>22860</xdr:colOff>
          <xdr:row>3</xdr:row>
          <xdr:rowOff>30480</xdr:rowOff>
        </xdr:from>
        <xdr:to>
          <xdr:col>2</xdr:col>
          <xdr:colOff>586740</xdr:colOff>
          <xdr:row>3</xdr:row>
          <xdr:rowOff>594360</xdr:rowOff>
        </xdr:to>
        <xdr:sp>
          <xdr:nvSpPr>
            <xdr:cNvPr id="12290" name="Object 2" hidden="1">
              <a:extLst>
                <a:ext uri="{63B3BB69-23CF-44E3-9099-C40C66FF867C}">
                  <a14:compatExt spid="_x0000_s12290"/>
                </a:ext>
              </a:extLst>
            </xdr:cNvPr>
            <xdr:cNvSpPr/>
          </xdr:nvSpPr>
          <xdr:spPr>
            <a:xfrm>
              <a:off x="2518410" y="1176020"/>
              <a:ext cx="563880" cy="56388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4</xdr:row>
          <xdr:rowOff>67945</xdr:rowOff>
        </xdr:from>
        <xdr:to>
          <xdr:col>2</xdr:col>
          <xdr:colOff>914400</xdr:colOff>
          <xdr:row>4</xdr:row>
          <xdr:rowOff>495300</xdr:rowOff>
        </xdr:to>
        <xdr:sp>
          <xdr:nvSpPr>
            <xdr:cNvPr id="12293" name="Object 5" hidden="1">
              <a:extLst>
                <a:ext uri="{63B3BB69-23CF-44E3-9099-C40C66FF867C}">
                  <a14:compatExt spid="_x0000_s12293"/>
                </a:ext>
              </a:extLst>
            </xdr:cNvPr>
            <xdr:cNvSpPr/>
          </xdr:nvSpPr>
          <xdr:spPr>
            <a:xfrm>
              <a:off x="2495550" y="1994535"/>
              <a:ext cx="914400" cy="42735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7</xdr:row>
          <xdr:rowOff>22860</xdr:rowOff>
        </xdr:from>
        <xdr:to>
          <xdr:col>2</xdr:col>
          <xdr:colOff>601980</xdr:colOff>
          <xdr:row>7</xdr:row>
          <xdr:rowOff>601980</xdr:rowOff>
        </xdr:to>
        <xdr:sp>
          <xdr:nvSpPr>
            <xdr:cNvPr id="12294" name="Object 6" hidden="1">
              <a:extLst>
                <a:ext uri="{63B3BB69-23CF-44E3-9099-C40C66FF867C}">
                  <a14:compatExt spid="_x0000_s12294"/>
                </a:ext>
              </a:extLst>
            </xdr:cNvPr>
            <xdr:cNvSpPr/>
          </xdr:nvSpPr>
          <xdr:spPr>
            <a:xfrm>
              <a:off x="2495550" y="4235450"/>
              <a:ext cx="601980" cy="57912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38100</xdr:colOff>
          <xdr:row>4</xdr:row>
          <xdr:rowOff>76200</xdr:rowOff>
        </xdr:from>
        <xdr:to>
          <xdr:col>10</xdr:col>
          <xdr:colOff>510540</xdr:colOff>
          <xdr:row>4</xdr:row>
          <xdr:rowOff>571500</xdr:rowOff>
        </xdr:to>
        <xdr:sp>
          <xdr:nvSpPr>
            <xdr:cNvPr id="12299" name="Object 11" hidden="1">
              <a:extLst>
                <a:ext uri="{63B3BB69-23CF-44E3-9099-C40C66FF867C}">
                  <a14:compatExt spid="_x0000_s12299"/>
                </a:ext>
              </a:extLst>
            </xdr:cNvPr>
            <xdr:cNvSpPr/>
          </xdr:nvSpPr>
          <xdr:spPr>
            <a:xfrm>
              <a:off x="6915150" y="2002790"/>
              <a:ext cx="1386840" cy="4953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22860</xdr:colOff>
          <xdr:row>6</xdr:row>
          <xdr:rowOff>22860</xdr:rowOff>
        </xdr:from>
        <xdr:to>
          <xdr:col>2</xdr:col>
          <xdr:colOff>617220</xdr:colOff>
          <xdr:row>7</xdr:row>
          <xdr:rowOff>7620</xdr:rowOff>
        </xdr:to>
        <xdr:sp>
          <xdr:nvSpPr>
            <xdr:cNvPr id="12313" name="Object 25" hidden="1">
              <a:extLst>
                <a:ext uri="{63B3BB69-23CF-44E3-9099-C40C66FF867C}">
                  <a14:compatExt spid="_x0000_s12313"/>
                </a:ext>
              </a:extLst>
            </xdr:cNvPr>
            <xdr:cNvSpPr/>
          </xdr:nvSpPr>
          <xdr:spPr>
            <a:xfrm>
              <a:off x="2518410" y="3473450"/>
              <a:ext cx="594360" cy="74676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15240</xdr:colOff>
          <xdr:row>17</xdr:row>
          <xdr:rowOff>15240</xdr:rowOff>
        </xdr:from>
        <xdr:to>
          <xdr:col>2</xdr:col>
          <xdr:colOff>899160</xdr:colOff>
          <xdr:row>17</xdr:row>
          <xdr:rowOff>510540</xdr:rowOff>
        </xdr:to>
        <xdr:sp>
          <xdr:nvSpPr>
            <xdr:cNvPr id="12327" name="Object 39" hidden="1">
              <a:extLst>
                <a:ext uri="{63B3BB69-23CF-44E3-9099-C40C66FF867C}">
                  <a14:compatExt spid="_x0000_s12327"/>
                </a:ext>
              </a:extLst>
            </xdr:cNvPr>
            <xdr:cNvSpPr/>
          </xdr:nvSpPr>
          <xdr:spPr>
            <a:xfrm>
              <a:off x="2510790" y="10571480"/>
              <a:ext cx="883920" cy="4953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45720</xdr:colOff>
          <xdr:row>16</xdr:row>
          <xdr:rowOff>167640</xdr:rowOff>
        </xdr:from>
        <xdr:to>
          <xdr:col>3</xdr:col>
          <xdr:colOff>381000</xdr:colOff>
          <xdr:row>17</xdr:row>
          <xdr:rowOff>190500</xdr:rowOff>
        </xdr:to>
        <xdr:sp>
          <xdr:nvSpPr>
            <xdr:cNvPr id="12328" name="Object 40" hidden="1">
              <a:extLst>
                <a:ext uri="{63B3BB69-23CF-44E3-9099-C40C66FF867C}">
                  <a14:compatExt spid="_x0000_s12328"/>
                </a:ext>
              </a:extLst>
            </xdr:cNvPr>
            <xdr:cNvSpPr/>
          </xdr:nvSpPr>
          <xdr:spPr>
            <a:xfrm>
              <a:off x="3693795" y="10504805"/>
              <a:ext cx="335280" cy="24193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38100</xdr:colOff>
          <xdr:row>18</xdr:row>
          <xdr:rowOff>160020</xdr:rowOff>
        </xdr:from>
        <xdr:to>
          <xdr:col>3</xdr:col>
          <xdr:colOff>373380</xdr:colOff>
          <xdr:row>18</xdr:row>
          <xdr:rowOff>365760</xdr:rowOff>
        </xdr:to>
        <xdr:sp>
          <xdr:nvSpPr>
            <xdr:cNvPr id="12334" name="Object 46" hidden="1">
              <a:extLst>
                <a:ext uri="{63B3BB69-23CF-44E3-9099-C40C66FF867C}">
                  <a14:compatExt spid="_x0000_s12334"/>
                </a:ext>
              </a:extLst>
            </xdr:cNvPr>
            <xdr:cNvSpPr/>
          </xdr:nvSpPr>
          <xdr:spPr>
            <a:xfrm>
              <a:off x="3686175" y="11604625"/>
              <a:ext cx="335280" cy="20574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38100</xdr:colOff>
          <xdr:row>20</xdr:row>
          <xdr:rowOff>83820</xdr:rowOff>
        </xdr:from>
        <xdr:to>
          <xdr:col>3</xdr:col>
          <xdr:colOff>381000</xdr:colOff>
          <xdr:row>20</xdr:row>
          <xdr:rowOff>297180</xdr:rowOff>
        </xdr:to>
        <xdr:sp>
          <xdr:nvSpPr>
            <xdr:cNvPr id="12338" name="Object 50" hidden="1">
              <a:extLst>
                <a:ext uri="{63B3BB69-23CF-44E3-9099-C40C66FF867C}">
                  <a14:compatExt spid="_x0000_s12338"/>
                </a:ext>
              </a:extLst>
            </xdr:cNvPr>
            <xdr:cNvSpPr/>
          </xdr:nvSpPr>
          <xdr:spPr>
            <a:xfrm>
              <a:off x="3686175" y="12652375"/>
              <a:ext cx="342900" cy="21336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30480</xdr:colOff>
          <xdr:row>13</xdr:row>
          <xdr:rowOff>129540</xdr:rowOff>
        </xdr:from>
        <xdr:to>
          <xdr:col>2</xdr:col>
          <xdr:colOff>853440</xdr:colOff>
          <xdr:row>13</xdr:row>
          <xdr:rowOff>609600</xdr:rowOff>
        </xdr:to>
        <xdr:sp>
          <xdr:nvSpPr>
            <xdr:cNvPr id="12344" name="Object 56" hidden="1">
              <a:extLst>
                <a:ext uri="{63B3BB69-23CF-44E3-9099-C40C66FF867C}">
                  <a14:compatExt spid="_x0000_s12344"/>
                </a:ext>
              </a:extLst>
            </xdr:cNvPr>
            <xdr:cNvSpPr/>
          </xdr:nvSpPr>
          <xdr:spPr>
            <a:xfrm>
              <a:off x="1554480" y="8914130"/>
              <a:ext cx="1794510" cy="48006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7620</xdr:colOff>
          <xdr:row>2</xdr:row>
          <xdr:rowOff>91440</xdr:rowOff>
        </xdr:from>
        <xdr:to>
          <xdr:col>2</xdr:col>
          <xdr:colOff>449580</xdr:colOff>
          <xdr:row>2</xdr:row>
          <xdr:rowOff>411480</xdr:rowOff>
        </xdr:to>
        <xdr:sp>
          <xdr:nvSpPr>
            <xdr:cNvPr id="12347" name="Object 59" hidden="1">
              <a:extLst>
                <a:ext uri="{63B3BB69-23CF-44E3-9099-C40C66FF867C}">
                  <a14:compatExt spid="_x0000_s12347"/>
                </a:ext>
              </a:extLst>
            </xdr:cNvPr>
            <xdr:cNvSpPr/>
          </xdr:nvSpPr>
          <xdr:spPr>
            <a:xfrm>
              <a:off x="2503170" y="598805"/>
              <a:ext cx="441960" cy="32004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7620</xdr:colOff>
          <xdr:row>5</xdr:row>
          <xdr:rowOff>99060</xdr:rowOff>
        </xdr:from>
        <xdr:to>
          <xdr:col>2</xdr:col>
          <xdr:colOff>472440</xdr:colOff>
          <xdr:row>5</xdr:row>
          <xdr:rowOff>433705</xdr:rowOff>
        </xdr:to>
        <xdr:sp>
          <xdr:nvSpPr>
            <xdr:cNvPr id="12348" name="Object 60" hidden="1">
              <a:extLst>
                <a:ext uri="{63B3BB69-23CF-44E3-9099-C40C66FF867C}">
                  <a14:compatExt spid="_x0000_s12348"/>
                </a:ext>
              </a:extLst>
            </xdr:cNvPr>
            <xdr:cNvSpPr/>
          </xdr:nvSpPr>
          <xdr:spPr>
            <a:xfrm>
              <a:off x="2503170" y="2787650"/>
              <a:ext cx="464820" cy="33464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8</xdr:row>
          <xdr:rowOff>30480</xdr:rowOff>
        </xdr:from>
        <xdr:to>
          <xdr:col>2</xdr:col>
          <xdr:colOff>617220</xdr:colOff>
          <xdr:row>8</xdr:row>
          <xdr:rowOff>571500</xdr:rowOff>
        </xdr:to>
        <xdr:sp>
          <xdr:nvSpPr>
            <xdr:cNvPr id="12349" name="Object 61" hidden="1">
              <a:extLst>
                <a:ext uri="{63B3BB69-23CF-44E3-9099-C40C66FF867C}">
                  <a14:compatExt spid="_x0000_s12349"/>
                </a:ext>
              </a:extLst>
            </xdr:cNvPr>
            <xdr:cNvSpPr/>
          </xdr:nvSpPr>
          <xdr:spPr>
            <a:xfrm>
              <a:off x="2495550" y="5005070"/>
              <a:ext cx="617220" cy="54102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7620</xdr:colOff>
          <xdr:row>9</xdr:row>
          <xdr:rowOff>15240</xdr:rowOff>
        </xdr:from>
        <xdr:to>
          <xdr:col>2</xdr:col>
          <xdr:colOff>678180</xdr:colOff>
          <xdr:row>10</xdr:row>
          <xdr:rowOff>0</xdr:rowOff>
        </xdr:to>
        <xdr:sp>
          <xdr:nvSpPr>
            <xdr:cNvPr id="12350" name="Object 62" hidden="1">
              <a:extLst>
                <a:ext uri="{63B3BB69-23CF-44E3-9099-C40C66FF867C}">
                  <a14:compatExt spid="_x0000_s12350"/>
                </a:ext>
              </a:extLst>
            </xdr:cNvPr>
            <xdr:cNvSpPr/>
          </xdr:nvSpPr>
          <xdr:spPr>
            <a:xfrm>
              <a:off x="2503170" y="5751830"/>
              <a:ext cx="670560" cy="74676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10</xdr:row>
          <xdr:rowOff>0</xdr:rowOff>
        </xdr:from>
        <xdr:to>
          <xdr:col>2</xdr:col>
          <xdr:colOff>556260</xdr:colOff>
          <xdr:row>10</xdr:row>
          <xdr:rowOff>594360</xdr:rowOff>
        </xdr:to>
        <xdr:sp>
          <xdr:nvSpPr>
            <xdr:cNvPr id="12351" name="Object 63" hidden="1">
              <a:extLst>
                <a:ext uri="{63B3BB69-23CF-44E3-9099-C40C66FF867C}">
                  <a14:compatExt spid="_x0000_s12351"/>
                </a:ext>
              </a:extLst>
            </xdr:cNvPr>
            <xdr:cNvSpPr/>
          </xdr:nvSpPr>
          <xdr:spPr>
            <a:xfrm>
              <a:off x="2495550" y="6498590"/>
              <a:ext cx="556260" cy="59436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11</xdr:row>
          <xdr:rowOff>106680</xdr:rowOff>
        </xdr:from>
        <xdr:to>
          <xdr:col>2</xdr:col>
          <xdr:colOff>914400</xdr:colOff>
          <xdr:row>11</xdr:row>
          <xdr:rowOff>518160</xdr:rowOff>
        </xdr:to>
        <xdr:sp>
          <xdr:nvSpPr>
            <xdr:cNvPr id="12352" name="Object 64" hidden="1">
              <a:extLst>
                <a:ext uri="{63B3BB69-23CF-44E3-9099-C40C66FF867C}">
                  <a14:compatExt spid="_x0000_s12352"/>
                </a:ext>
              </a:extLst>
            </xdr:cNvPr>
            <xdr:cNvSpPr/>
          </xdr:nvSpPr>
          <xdr:spPr>
            <a:xfrm>
              <a:off x="2495550" y="7367270"/>
              <a:ext cx="914400" cy="41148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12</xdr:row>
          <xdr:rowOff>91440</xdr:rowOff>
        </xdr:from>
        <xdr:to>
          <xdr:col>3</xdr:col>
          <xdr:colOff>38100</xdr:colOff>
          <xdr:row>12</xdr:row>
          <xdr:rowOff>525780</xdr:rowOff>
        </xdr:to>
        <xdr:sp>
          <xdr:nvSpPr>
            <xdr:cNvPr id="12353" name="Object 65" hidden="1">
              <a:extLst>
                <a:ext uri="{63B3BB69-23CF-44E3-9099-C40C66FF867C}">
                  <a14:compatExt spid="_x0000_s12353"/>
                </a:ext>
              </a:extLst>
            </xdr:cNvPr>
            <xdr:cNvSpPr/>
          </xdr:nvSpPr>
          <xdr:spPr>
            <a:xfrm>
              <a:off x="2495550" y="8114030"/>
              <a:ext cx="1190625" cy="43434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7620</xdr:colOff>
          <xdr:row>18</xdr:row>
          <xdr:rowOff>251460</xdr:rowOff>
        </xdr:from>
        <xdr:to>
          <xdr:col>3</xdr:col>
          <xdr:colOff>38100</xdr:colOff>
          <xdr:row>19</xdr:row>
          <xdr:rowOff>304800</xdr:rowOff>
        </xdr:to>
        <xdr:sp>
          <xdr:nvSpPr>
            <xdr:cNvPr id="12355" name="Object 67" hidden="1">
              <a:extLst>
                <a:ext uri="{63B3BB69-23CF-44E3-9099-C40C66FF867C}">
                  <a14:compatExt spid="_x0000_s12355"/>
                </a:ext>
              </a:extLst>
            </xdr:cNvPr>
            <xdr:cNvSpPr/>
          </xdr:nvSpPr>
          <xdr:spPr>
            <a:xfrm>
              <a:off x="2503170" y="11696065"/>
              <a:ext cx="1183005" cy="63436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20</xdr:row>
          <xdr:rowOff>67945</xdr:rowOff>
        </xdr:from>
        <xdr:to>
          <xdr:col>3</xdr:col>
          <xdr:colOff>38100</xdr:colOff>
          <xdr:row>20</xdr:row>
          <xdr:rowOff>640080</xdr:rowOff>
        </xdr:to>
        <xdr:sp>
          <xdr:nvSpPr>
            <xdr:cNvPr id="12356" name="Object 68" hidden="1">
              <a:extLst>
                <a:ext uri="{63B3BB69-23CF-44E3-9099-C40C66FF867C}">
                  <a14:compatExt spid="_x0000_s12356"/>
                </a:ext>
              </a:extLst>
            </xdr:cNvPr>
            <xdr:cNvSpPr/>
          </xdr:nvSpPr>
          <xdr:spPr>
            <a:xfrm>
              <a:off x="2495550" y="12636500"/>
              <a:ext cx="1190625" cy="57213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21</xdr:row>
          <xdr:rowOff>0</xdr:rowOff>
        </xdr:from>
        <xdr:to>
          <xdr:col>3</xdr:col>
          <xdr:colOff>7620</xdr:colOff>
          <xdr:row>22</xdr:row>
          <xdr:rowOff>60960</xdr:rowOff>
        </xdr:to>
        <xdr:sp>
          <xdr:nvSpPr>
            <xdr:cNvPr id="12360" name="Object 72" hidden="1">
              <a:extLst>
                <a:ext uri="{63B3BB69-23CF-44E3-9099-C40C66FF867C}">
                  <a14:compatExt spid="_x0000_s12360"/>
                </a:ext>
              </a:extLst>
            </xdr:cNvPr>
            <xdr:cNvSpPr/>
          </xdr:nvSpPr>
          <xdr:spPr>
            <a:xfrm>
              <a:off x="2495550" y="13456920"/>
              <a:ext cx="1160145" cy="94932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53340</xdr:colOff>
          <xdr:row>21</xdr:row>
          <xdr:rowOff>22860</xdr:rowOff>
        </xdr:from>
        <xdr:to>
          <xdr:col>3</xdr:col>
          <xdr:colOff>388620</xdr:colOff>
          <xdr:row>21</xdr:row>
          <xdr:rowOff>273685</xdr:rowOff>
        </xdr:to>
        <xdr:sp>
          <xdr:nvSpPr>
            <xdr:cNvPr id="12361" name="Object 73" hidden="1">
              <a:extLst>
                <a:ext uri="{63B3BB69-23CF-44E3-9099-C40C66FF867C}">
                  <a14:compatExt spid="_x0000_s12361"/>
                </a:ext>
              </a:extLst>
            </xdr:cNvPr>
            <xdr:cNvSpPr/>
          </xdr:nvSpPr>
          <xdr:spPr>
            <a:xfrm>
              <a:off x="3701415" y="13479780"/>
              <a:ext cx="335280" cy="25082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586740</xdr:colOff>
          <xdr:row>25</xdr:row>
          <xdr:rowOff>121920</xdr:rowOff>
        </xdr:from>
        <xdr:to>
          <xdr:col>1</xdr:col>
          <xdr:colOff>640080</xdr:colOff>
          <xdr:row>28</xdr:row>
          <xdr:rowOff>106680</xdr:rowOff>
        </xdr:to>
        <xdr:sp>
          <xdr:nvSpPr>
            <xdr:cNvPr id="12362" name="Object 74" hidden="1">
              <a:extLst>
                <a:ext uri="{63B3BB69-23CF-44E3-9099-C40C66FF867C}">
                  <a14:compatExt spid="_x0000_s12362"/>
                </a:ext>
              </a:extLst>
            </xdr:cNvPr>
            <xdr:cNvSpPr/>
          </xdr:nvSpPr>
          <xdr:spPr>
            <a:xfrm>
              <a:off x="586740" y="14991080"/>
              <a:ext cx="1577340" cy="52768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259080</xdr:colOff>
          <xdr:row>26</xdr:row>
          <xdr:rowOff>45720</xdr:rowOff>
        </xdr:from>
        <xdr:to>
          <xdr:col>2</xdr:col>
          <xdr:colOff>868045</xdr:colOff>
          <xdr:row>27</xdr:row>
          <xdr:rowOff>91440</xdr:rowOff>
        </xdr:to>
        <xdr:sp>
          <xdr:nvSpPr>
            <xdr:cNvPr id="12363" name="Object 75" hidden="1">
              <a:extLst>
                <a:ext uri="{63B3BB69-23CF-44E3-9099-C40C66FF867C}">
                  <a14:compatExt spid="_x0000_s12363"/>
                </a:ext>
              </a:extLst>
            </xdr:cNvPr>
            <xdr:cNvSpPr/>
          </xdr:nvSpPr>
          <xdr:spPr>
            <a:xfrm>
              <a:off x="2754630" y="15095855"/>
              <a:ext cx="608965" cy="22669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67945</xdr:colOff>
          <xdr:row>26</xdr:row>
          <xdr:rowOff>30480</xdr:rowOff>
        </xdr:from>
        <xdr:to>
          <xdr:col>5</xdr:col>
          <xdr:colOff>236220</xdr:colOff>
          <xdr:row>27</xdr:row>
          <xdr:rowOff>106680</xdr:rowOff>
        </xdr:to>
        <xdr:sp>
          <xdr:nvSpPr>
            <xdr:cNvPr id="12364" name="Object 76" hidden="1">
              <a:extLst>
                <a:ext uri="{63B3BB69-23CF-44E3-9099-C40C66FF867C}">
                  <a14:compatExt spid="_x0000_s12364"/>
                </a:ext>
              </a:extLst>
            </xdr:cNvPr>
            <xdr:cNvSpPr/>
          </xdr:nvSpPr>
          <xdr:spPr>
            <a:xfrm>
              <a:off x="4220845" y="15080615"/>
              <a:ext cx="673100" cy="25717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205740</xdr:colOff>
          <xdr:row>28</xdr:row>
          <xdr:rowOff>114300</xdr:rowOff>
        </xdr:from>
        <xdr:to>
          <xdr:col>2</xdr:col>
          <xdr:colOff>777240</xdr:colOff>
          <xdr:row>31</xdr:row>
          <xdr:rowOff>53340</xdr:rowOff>
        </xdr:to>
        <xdr:sp>
          <xdr:nvSpPr>
            <xdr:cNvPr id="12366" name="Object 78" hidden="1">
              <a:extLst>
                <a:ext uri="{63B3BB69-23CF-44E3-9099-C40C66FF867C}">
                  <a14:compatExt spid="_x0000_s12366"/>
                </a:ext>
              </a:extLst>
            </xdr:cNvPr>
            <xdr:cNvSpPr/>
          </xdr:nvSpPr>
          <xdr:spPr>
            <a:xfrm>
              <a:off x="2701290" y="15526385"/>
              <a:ext cx="571500" cy="48196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396240</xdr:colOff>
          <xdr:row>28</xdr:row>
          <xdr:rowOff>129540</xdr:rowOff>
        </xdr:from>
        <xdr:to>
          <xdr:col>5</xdr:col>
          <xdr:colOff>312420</xdr:colOff>
          <xdr:row>31</xdr:row>
          <xdr:rowOff>60960</xdr:rowOff>
        </xdr:to>
        <xdr:sp>
          <xdr:nvSpPr>
            <xdr:cNvPr id="12367" name="Object 79" hidden="1">
              <a:extLst>
                <a:ext uri="{63B3BB69-23CF-44E3-9099-C40C66FF867C}">
                  <a14:compatExt spid="_x0000_s12367"/>
                </a:ext>
              </a:extLst>
            </xdr:cNvPr>
            <xdr:cNvSpPr/>
          </xdr:nvSpPr>
          <xdr:spPr>
            <a:xfrm>
              <a:off x="4044315" y="15541625"/>
              <a:ext cx="925830" cy="474345"/>
            </a:xfrm>
            <a:prstGeom prst="rect">
              <a:avLst/>
            </a:prstGeom>
          </xdr:spPr>
        </xdr:sp>
        <xdr:clientData/>
      </xdr:twoCellAnchor>
    </mc:Choice>
    <mc:Fallback/>
  </mc:AlternateContent>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9525</xdr:colOff>
      <xdr:row>55</xdr:row>
      <xdr:rowOff>28575</xdr:rowOff>
    </xdr:from>
    <xdr:to>
      <xdr:col>4</xdr:col>
      <xdr:colOff>219075</xdr:colOff>
      <xdr:row>72</xdr:row>
      <xdr:rowOff>31446</xdr:rowOff>
    </xdr:to>
    <xdr:pic>
      <xdr:nvPicPr>
        <xdr:cNvPr id="1055" name="Picture 31"/>
        <xdr:cNvPicPr>
          <a:picLocks noChangeAspect="1" noChangeArrowheads="1"/>
        </xdr:cNvPicPr>
      </xdr:nvPicPr>
      <xdr:blipFill>
        <a:blip r:embed="rId1" cstate="print"/>
        <a:srcRect/>
        <a:stretch>
          <a:fillRect/>
        </a:stretch>
      </xdr:blipFill>
      <xdr:spPr>
        <a:xfrm>
          <a:off x="9525" y="12034520"/>
          <a:ext cx="4972050" cy="3694430"/>
        </a:xfrm>
        <a:prstGeom prst="rect">
          <a:avLst/>
        </a:prstGeom>
        <a:noFill/>
        <a:ln w="1">
          <a:noFill/>
          <a:miter lim="800000"/>
          <a:headEnd/>
          <a:tailEnd type="none" w="med" len="med"/>
        </a:ln>
        <a:effectLst/>
      </xdr:spPr>
    </xdr:pic>
    <xdr:clientData/>
  </xdr:twoCellAnchor>
  <xdr:twoCellAnchor editAs="oneCell">
    <xdr:from>
      <xdr:col>5</xdr:col>
      <xdr:colOff>9525</xdr:colOff>
      <xdr:row>12</xdr:row>
      <xdr:rowOff>19050</xdr:rowOff>
    </xdr:from>
    <xdr:to>
      <xdr:col>9</xdr:col>
      <xdr:colOff>619125</xdr:colOff>
      <xdr:row>23</xdr:row>
      <xdr:rowOff>95249</xdr:rowOff>
    </xdr:to>
    <xdr:pic>
      <xdr:nvPicPr>
        <xdr:cNvPr id="1056" name="Picture 32"/>
        <xdr:cNvPicPr>
          <a:picLocks noChangeAspect="1" noChangeArrowheads="1"/>
        </xdr:cNvPicPr>
      </xdr:nvPicPr>
      <xdr:blipFill>
        <a:blip r:embed="rId2" cstate="print"/>
        <a:srcRect/>
        <a:stretch>
          <a:fillRect/>
        </a:stretch>
      </xdr:blipFill>
      <xdr:spPr>
        <a:xfrm>
          <a:off x="5410200" y="2686685"/>
          <a:ext cx="4848225" cy="2464435"/>
        </a:xfrm>
        <a:prstGeom prst="rect">
          <a:avLst/>
        </a:prstGeom>
        <a:noFill/>
        <a:ln w="1">
          <a:noFill/>
          <a:miter lim="800000"/>
          <a:headEnd/>
          <a:tailEnd type="none" w="med" len="med"/>
        </a:ln>
        <a:effectLst/>
      </xdr:spPr>
    </xdr:pic>
    <xdr:clientData/>
  </xdr:twoCellAnchor>
  <xdr:twoCellAnchor editAs="oneCell">
    <xdr:from>
      <xdr:col>0</xdr:col>
      <xdr:colOff>9525</xdr:colOff>
      <xdr:row>75</xdr:row>
      <xdr:rowOff>0</xdr:rowOff>
    </xdr:from>
    <xdr:to>
      <xdr:col>4</xdr:col>
      <xdr:colOff>276225</xdr:colOff>
      <xdr:row>93</xdr:row>
      <xdr:rowOff>35523</xdr:rowOff>
    </xdr:to>
    <xdr:pic>
      <xdr:nvPicPr>
        <xdr:cNvPr id="1058" name="Picture 34"/>
        <xdr:cNvPicPr>
          <a:picLocks noChangeAspect="1" noChangeArrowheads="1"/>
        </xdr:cNvPicPr>
      </xdr:nvPicPr>
      <xdr:blipFill>
        <a:blip r:embed="rId3" cstate="print"/>
        <a:srcRect/>
        <a:stretch>
          <a:fillRect/>
        </a:stretch>
      </xdr:blipFill>
      <xdr:spPr>
        <a:xfrm>
          <a:off x="9525" y="16349345"/>
          <a:ext cx="5029200" cy="3943985"/>
        </a:xfrm>
        <a:prstGeom prst="rect">
          <a:avLst/>
        </a:prstGeom>
        <a:noFill/>
        <a:ln w="1">
          <a:noFill/>
          <a:miter lim="800000"/>
          <a:headEnd/>
          <a:tailEnd type="none" w="med" len="med"/>
        </a:ln>
        <a:effectLst/>
      </xdr:spPr>
    </xdr:pic>
    <xdr:clientData/>
  </xdr:twoCellAnchor>
  <xdr:twoCellAnchor editAs="oneCell">
    <xdr:from>
      <xdr:col>8</xdr:col>
      <xdr:colOff>457201</xdr:colOff>
      <xdr:row>52</xdr:row>
      <xdr:rowOff>38100</xdr:rowOff>
    </xdr:from>
    <xdr:to>
      <xdr:col>12</xdr:col>
      <xdr:colOff>542926</xdr:colOff>
      <xdr:row>67</xdr:row>
      <xdr:rowOff>12761</xdr:rowOff>
    </xdr:to>
    <xdr:pic>
      <xdr:nvPicPr>
        <xdr:cNvPr id="1061" name="Picture 37"/>
        <xdr:cNvPicPr>
          <a:picLocks noChangeAspect="1" noChangeArrowheads="1"/>
        </xdr:cNvPicPr>
      </xdr:nvPicPr>
      <xdr:blipFill>
        <a:blip r:embed="rId4" cstate="print"/>
        <a:srcRect/>
        <a:stretch>
          <a:fillRect/>
        </a:stretch>
      </xdr:blipFill>
      <xdr:spPr>
        <a:xfrm>
          <a:off x="9058275" y="11392535"/>
          <a:ext cx="3886200" cy="3232150"/>
        </a:xfrm>
        <a:prstGeom prst="rect">
          <a:avLst/>
        </a:prstGeom>
        <a:noFill/>
        <a:ln w="1">
          <a:noFill/>
          <a:miter lim="800000"/>
          <a:headEnd/>
          <a:tailEnd type="none" w="med" len="med"/>
        </a:ln>
        <a:effectLst/>
      </xdr:spPr>
    </xdr:pic>
    <xdr:clientData/>
  </xdr:twoCellAnchor>
  <xdr:twoCellAnchor editAs="oneCell">
    <xdr:from>
      <xdr:col>5</xdr:col>
      <xdr:colOff>76200</xdr:colOff>
      <xdr:row>69</xdr:row>
      <xdr:rowOff>76200</xdr:rowOff>
    </xdr:from>
    <xdr:to>
      <xdr:col>8</xdr:col>
      <xdr:colOff>76200</xdr:colOff>
      <xdr:row>91</xdr:row>
      <xdr:rowOff>133350</xdr:rowOff>
    </xdr:to>
    <xdr:pic>
      <xdr:nvPicPr>
        <xdr:cNvPr id="1062" name="Picture 38"/>
        <xdr:cNvPicPr>
          <a:picLocks noChangeAspect="1" noChangeArrowheads="1"/>
        </xdr:cNvPicPr>
      </xdr:nvPicPr>
      <xdr:blipFill>
        <a:blip r:embed="rId5" cstate="print"/>
        <a:srcRect/>
        <a:stretch>
          <a:fillRect/>
        </a:stretch>
      </xdr:blipFill>
      <xdr:spPr>
        <a:xfrm>
          <a:off x="5476875" y="15122525"/>
          <a:ext cx="3200400" cy="4834890"/>
        </a:xfrm>
        <a:prstGeom prst="rect">
          <a:avLst/>
        </a:prstGeom>
        <a:noFill/>
        <a:ln w="1">
          <a:noFill/>
          <a:miter lim="800000"/>
          <a:headEnd/>
          <a:tailEnd type="none" w="med" len="med"/>
        </a:ln>
        <a:effectLst/>
      </xdr:spPr>
    </xdr:pic>
    <xdr:clientData/>
  </xdr:twoCellAnchor>
  <xdr:twoCellAnchor editAs="oneCell">
    <xdr:from>
      <xdr:col>8</xdr:col>
      <xdr:colOff>0</xdr:colOff>
      <xdr:row>69</xdr:row>
      <xdr:rowOff>0</xdr:rowOff>
    </xdr:from>
    <xdr:to>
      <xdr:col>12</xdr:col>
      <xdr:colOff>238125</xdr:colOff>
      <xdr:row>91</xdr:row>
      <xdr:rowOff>123825</xdr:rowOff>
    </xdr:to>
    <xdr:pic>
      <xdr:nvPicPr>
        <xdr:cNvPr id="1063" name="Picture 39"/>
        <xdr:cNvPicPr>
          <a:picLocks noChangeAspect="1" noChangeArrowheads="1"/>
        </xdr:cNvPicPr>
      </xdr:nvPicPr>
      <xdr:blipFill>
        <a:blip r:embed="rId6" cstate="print"/>
        <a:srcRect/>
        <a:stretch>
          <a:fillRect/>
        </a:stretch>
      </xdr:blipFill>
      <xdr:spPr>
        <a:xfrm>
          <a:off x="8601075" y="15046325"/>
          <a:ext cx="4038600" cy="4901565"/>
        </a:xfrm>
        <a:prstGeom prst="rect">
          <a:avLst/>
        </a:prstGeom>
        <a:noFill/>
        <a:ln w="1">
          <a:noFill/>
          <a:miter lim="800000"/>
          <a:headEnd/>
          <a:tailEnd type="none" w="med" len="med"/>
        </a:ln>
        <a:effectLst/>
      </xdr:spPr>
    </xdr:pic>
    <xdr:clientData/>
  </xdr:twoCellAnchor>
  <xdr:twoCellAnchor editAs="oneCell">
    <xdr:from>
      <xdr:col>5</xdr:col>
      <xdr:colOff>38100</xdr:colOff>
      <xdr:row>52</xdr:row>
      <xdr:rowOff>38101</xdr:rowOff>
    </xdr:from>
    <xdr:to>
      <xdr:col>8</xdr:col>
      <xdr:colOff>352425</xdr:colOff>
      <xdr:row>67</xdr:row>
      <xdr:rowOff>14663</xdr:rowOff>
    </xdr:to>
    <xdr:pic>
      <xdr:nvPicPr>
        <xdr:cNvPr id="1064" name="Picture 40"/>
        <xdr:cNvPicPr>
          <a:picLocks noChangeAspect="1" noChangeArrowheads="1"/>
        </xdr:cNvPicPr>
      </xdr:nvPicPr>
      <xdr:blipFill>
        <a:blip r:embed="rId7" cstate="print"/>
        <a:srcRect/>
        <a:stretch>
          <a:fillRect/>
        </a:stretch>
      </xdr:blipFill>
      <xdr:spPr>
        <a:xfrm>
          <a:off x="5438775" y="11392535"/>
          <a:ext cx="3514725" cy="3234055"/>
        </a:xfrm>
        <a:prstGeom prst="rect">
          <a:avLst/>
        </a:prstGeom>
        <a:noFill/>
        <a:ln w="1">
          <a:noFill/>
          <a:miter lim="800000"/>
          <a:headEnd/>
          <a:tailEnd type="none" w="med" len="med"/>
        </a:ln>
        <a:effectLst/>
      </xdr:spPr>
    </xdr:pic>
    <xdr:clientData/>
  </xdr:twoCellAnchor>
  <xdr:twoCellAnchor>
    <xdr:from>
      <xdr:col>5</xdr:col>
      <xdr:colOff>0</xdr:colOff>
      <xdr:row>94</xdr:row>
      <xdr:rowOff>28575</xdr:rowOff>
    </xdr:from>
    <xdr:to>
      <xdr:col>6</xdr:col>
      <xdr:colOff>1</xdr:colOff>
      <xdr:row>97</xdr:row>
      <xdr:rowOff>1</xdr:rowOff>
    </xdr:to>
    <xdr:cxnSp>
      <xdr:nvCxnSpPr>
        <xdr:cNvPr id="24" name="直接连接符 23"/>
        <xdr:cNvCxnSpPr/>
      </xdr:nvCxnSpPr>
      <xdr:spPr>
        <a:xfrm flipH="1" flipV="1">
          <a:off x="5400675" y="20504150"/>
          <a:ext cx="1095375" cy="62293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9526</xdr:colOff>
      <xdr:row>127</xdr:row>
      <xdr:rowOff>9526</xdr:rowOff>
    </xdr:from>
    <xdr:to>
      <xdr:col>7</xdr:col>
      <xdr:colOff>420222</xdr:colOff>
      <xdr:row>153</xdr:row>
      <xdr:rowOff>76200</xdr:rowOff>
    </xdr:to>
    <xdr:pic>
      <xdr:nvPicPr>
        <xdr:cNvPr id="2" name="Picture 47"/>
        <xdr:cNvPicPr>
          <a:picLocks noChangeAspect="1" noChangeArrowheads="1"/>
        </xdr:cNvPicPr>
      </xdr:nvPicPr>
      <xdr:blipFill>
        <a:blip r:embed="rId8" cstate="print"/>
        <a:srcRect/>
        <a:stretch>
          <a:fillRect/>
        </a:stretch>
      </xdr:blipFill>
      <xdr:spPr>
        <a:xfrm>
          <a:off x="9525" y="27651710"/>
          <a:ext cx="7973060" cy="5713095"/>
        </a:xfrm>
        <a:prstGeom prst="rect">
          <a:avLst/>
        </a:prstGeom>
        <a:noFill/>
        <a:ln w="1">
          <a:noFill/>
          <a:miter lim="800000"/>
          <a:headEnd/>
          <a:tailEnd type="none" w="med" len="med"/>
        </a:ln>
        <a:effectLst/>
      </xdr:spPr>
    </xdr:pic>
    <xdr:clientData/>
  </xdr:twoCellAnchor>
  <xdr:twoCellAnchor editAs="oneCell">
    <xdr:from>
      <xdr:col>0</xdr:col>
      <xdr:colOff>9525</xdr:colOff>
      <xdr:row>153</xdr:row>
      <xdr:rowOff>57149</xdr:rowOff>
    </xdr:from>
    <xdr:to>
      <xdr:col>7</xdr:col>
      <xdr:colOff>559791</xdr:colOff>
      <xdr:row>162</xdr:row>
      <xdr:rowOff>19050</xdr:rowOff>
    </xdr:to>
    <xdr:pic>
      <xdr:nvPicPr>
        <xdr:cNvPr id="1072" name="Picture 48"/>
        <xdr:cNvPicPr>
          <a:picLocks noChangeAspect="1" noChangeArrowheads="1"/>
        </xdr:cNvPicPr>
      </xdr:nvPicPr>
      <xdr:blipFill>
        <a:blip r:embed="rId9" cstate="print"/>
        <a:srcRect/>
        <a:stretch>
          <a:fillRect/>
        </a:stretch>
      </xdr:blipFill>
      <xdr:spPr>
        <a:xfrm>
          <a:off x="9525" y="33345120"/>
          <a:ext cx="8112760" cy="1917065"/>
        </a:xfrm>
        <a:prstGeom prst="rect">
          <a:avLst/>
        </a:prstGeom>
        <a:noFill/>
        <a:ln w="1">
          <a:noFill/>
          <a:miter lim="800000"/>
          <a:headEnd/>
          <a:tailEnd type="none" w="med" len="med"/>
        </a:ln>
        <a:effectLst/>
      </xdr:spPr>
    </xdr:pic>
    <xdr:clientData/>
  </xdr:twoCellAnchor>
  <xdr:twoCellAnchor editAs="oneCell">
    <xdr:from>
      <xdr:col>5</xdr:col>
      <xdr:colOff>9526</xdr:colOff>
      <xdr:row>30</xdr:row>
      <xdr:rowOff>19050</xdr:rowOff>
    </xdr:from>
    <xdr:to>
      <xdr:col>10</xdr:col>
      <xdr:colOff>6886</xdr:colOff>
      <xdr:row>44</xdr:row>
      <xdr:rowOff>0</xdr:rowOff>
    </xdr:to>
    <xdr:pic>
      <xdr:nvPicPr>
        <xdr:cNvPr id="1073" name="Picture 49"/>
        <xdr:cNvPicPr>
          <a:picLocks noChangeAspect="1" noChangeArrowheads="1"/>
        </xdr:cNvPicPr>
      </xdr:nvPicPr>
      <xdr:blipFill>
        <a:blip r:embed="rId10" cstate="print"/>
        <a:srcRect/>
        <a:stretch>
          <a:fillRect/>
        </a:stretch>
      </xdr:blipFill>
      <xdr:spPr>
        <a:xfrm>
          <a:off x="5410200" y="6595745"/>
          <a:ext cx="5273675" cy="302133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3" name="五边形 12">
          <a:hlinkClick xmlns:r="http://schemas.openxmlformats.org/officeDocument/2006/relationships" r:id="rId11"/>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mc:AlternateContent xmlns:mc="http://schemas.openxmlformats.org/markup-compatibility/2006">
    <mc:Choice xmlns:a14="http://schemas.microsoft.com/office/drawing/2010/main" Requires="a14">
      <xdr:twoCellAnchor editAs="oneCell">
        <xdr:from>
          <xdr:col>3</xdr:col>
          <xdr:colOff>7620</xdr:colOff>
          <xdr:row>32</xdr:row>
          <xdr:rowOff>7620</xdr:rowOff>
        </xdr:from>
        <xdr:to>
          <xdr:col>4</xdr:col>
          <xdr:colOff>259080</xdr:colOff>
          <xdr:row>35</xdr:row>
          <xdr:rowOff>0</xdr:rowOff>
        </xdr:to>
        <xdr:sp>
          <xdr:nvSpPr>
            <xdr:cNvPr id="1053" name="Object 29" hidden="1">
              <a:extLst>
                <a:ext uri="{63B3BB69-23CF-44E3-9099-C40C66FF867C}">
                  <a14:compatExt spid="_x0000_s1053"/>
                </a:ext>
              </a:extLst>
            </xdr:cNvPr>
            <xdr:cNvSpPr/>
          </xdr:nvSpPr>
          <xdr:spPr>
            <a:xfrm>
              <a:off x="3579495" y="7018655"/>
              <a:ext cx="1442085" cy="64389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7620</xdr:colOff>
          <xdr:row>45</xdr:row>
          <xdr:rowOff>7620</xdr:rowOff>
        </xdr:from>
        <xdr:to>
          <xdr:col>4</xdr:col>
          <xdr:colOff>426720</xdr:colOff>
          <xdr:row>48</xdr:row>
          <xdr:rowOff>0</xdr:rowOff>
        </xdr:to>
        <xdr:sp>
          <xdr:nvSpPr>
            <xdr:cNvPr id="1069" name="Object 45" hidden="1">
              <a:extLst>
                <a:ext uri="{63B3BB69-23CF-44E3-9099-C40C66FF867C}">
                  <a14:compatExt spid="_x0000_s1069"/>
                </a:ext>
              </a:extLst>
            </xdr:cNvPr>
            <xdr:cNvSpPr/>
          </xdr:nvSpPr>
          <xdr:spPr>
            <a:xfrm>
              <a:off x="3579495" y="9841865"/>
              <a:ext cx="1609725" cy="64389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7620</xdr:colOff>
          <xdr:row>182</xdr:row>
          <xdr:rowOff>7620</xdr:rowOff>
        </xdr:from>
        <xdr:to>
          <xdr:col>3</xdr:col>
          <xdr:colOff>259080</xdr:colOff>
          <xdr:row>182</xdr:row>
          <xdr:rowOff>502920</xdr:rowOff>
        </xdr:to>
        <xdr:sp>
          <xdr:nvSpPr>
            <xdr:cNvPr id="1087" name="Object 63" hidden="1">
              <a:extLst>
                <a:ext uri="{63B3BB69-23CF-44E3-9099-C40C66FF867C}">
                  <a14:compatExt spid="_x0000_s1087"/>
                </a:ext>
              </a:extLst>
            </xdr:cNvPr>
            <xdr:cNvSpPr/>
          </xdr:nvSpPr>
          <xdr:spPr>
            <a:xfrm>
              <a:off x="2388870" y="39594155"/>
              <a:ext cx="1442085" cy="4953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7620</xdr:colOff>
          <xdr:row>183</xdr:row>
          <xdr:rowOff>7620</xdr:rowOff>
        </xdr:from>
        <xdr:to>
          <xdr:col>3</xdr:col>
          <xdr:colOff>922020</xdr:colOff>
          <xdr:row>183</xdr:row>
          <xdr:rowOff>487680</xdr:rowOff>
        </xdr:to>
        <xdr:sp>
          <xdr:nvSpPr>
            <xdr:cNvPr id="1089" name="Object 65" hidden="1">
              <a:extLst>
                <a:ext uri="{63B3BB69-23CF-44E3-9099-C40C66FF867C}">
                  <a14:compatExt spid="_x0000_s1089"/>
                </a:ext>
              </a:extLst>
            </xdr:cNvPr>
            <xdr:cNvSpPr/>
          </xdr:nvSpPr>
          <xdr:spPr>
            <a:xfrm>
              <a:off x="2388870" y="40241855"/>
              <a:ext cx="2105025" cy="48006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0</xdr:colOff>
          <xdr:row>186</xdr:row>
          <xdr:rowOff>0</xdr:rowOff>
        </xdr:from>
        <xdr:to>
          <xdr:col>3</xdr:col>
          <xdr:colOff>922020</xdr:colOff>
          <xdr:row>186</xdr:row>
          <xdr:rowOff>502920</xdr:rowOff>
        </xdr:to>
        <xdr:sp>
          <xdr:nvSpPr>
            <xdr:cNvPr id="1090" name="Object 66" hidden="1">
              <a:extLst>
                <a:ext uri="{63B3BB69-23CF-44E3-9099-C40C66FF867C}">
                  <a14:compatExt spid="_x0000_s1090"/>
                </a:ext>
              </a:extLst>
            </xdr:cNvPr>
            <xdr:cNvSpPr/>
          </xdr:nvSpPr>
          <xdr:spPr>
            <a:xfrm>
              <a:off x="2381250" y="41546780"/>
              <a:ext cx="2112645" cy="50292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7620</xdr:colOff>
          <xdr:row>187</xdr:row>
          <xdr:rowOff>38100</xdr:rowOff>
        </xdr:from>
        <xdr:to>
          <xdr:col>3</xdr:col>
          <xdr:colOff>937260</xdr:colOff>
          <xdr:row>187</xdr:row>
          <xdr:rowOff>548005</xdr:rowOff>
        </xdr:to>
        <xdr:sp>
          <xdr:nvSpPr>
            <xdr:cNvPr id="1091" name="Object 67" hidden="1">
              <a:extLst>
                <a:ext uri="{63B3BB69-23CF-44E3-9099-C40C66FF867C}">
                  <a14:compatExt spid="_x0000_s1091"/>
                </a:ext>
              </a:extLst>
            </xdr:cNvPr>
            <xdr:cNvSpPr/>
          </xdr:nvSpPr>
          <xdr:spPr>
            <a:xfrm>
              <a:off x="2388870" y="42242105"/>
              <a:ext cx="2120265" cy="509905"/>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7620</xdr:colOff>
          <xdr:row>188</xdr:row>
          <xdr:rowOff>22860</xdr:rowOff>
        </xdr:from>
        <xdr:to>
          <xdr:col>5</xdr:col>
          <xdr:colOff>7620</xdr:colOff>
          <xdr:row>188</xdr:row>
          <xdr:rowOff>541020</xdr:rowOff>
        </xdr:to>
        <xdr:sp>
          <xdr:nvSpPr>
            <xdr:cNvPr id="1093" name="Object 69" hidden="1">
              <a:extLst>
                <a:ext uri="{63B3BB69-23CF-44E3-9099-C40C66FF867C}">
                  <a14:compatExt spid="_x0000_s1093"/>
                </a:ext>
              </a:extLst>
            </xdr:cNvPr>
            <xdr:cNvSpPr/>
          </xdr:nvSpPr>
          <xdr:spPr>
            <a:xfrm>
              <a:off x="2388870" y="42950765"/>
              <a:ext cx="3019425" cy="51816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678180</xdr:colOff>
          <xdr:row>187</xdr:row>
          <xdr:rowOff>541020</xdr:rowOff>
        </xdr:from>
        <xdr:to>
          <xdr:col>6</xdr:col>
          <xdr:colOff>685800</xdr:colOff>
          <xdr:row>189</xdr:row>
          <xdr:rowOff>7620</xdr:rowOff>
        </xdr:to>
        <xdr:sp>
          <xdr:nvSpPr>
            <xdr:cNvPr id="1096" name="Object 72" hidden="1">
              <a:extLst>
                <a:ext uri="{63B3BB69-23CF-44E3-9099-C40C66FF867C}">
                  <a14:compatExt spid="_x0000_s1096"/>
                </a:ext>
              </a:extLst>
            </xdr:cNvPr>
            <xdr:cNvSpPr/>
          </xdr:nvSpPr>
          <xdr:spPr>
            <a:xfrm>
              <a:off x="5400675" y="42745025"/>
              <a:ext cx="1781175" cy="8763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670560</xdr:colOff>
          <xdr:row>187</xdr:row>
          <xdr:rowOff>525780</xdr:rowOff>
        </xdr:from>
        <xdr:to>
          <xdr:col>8</xdr:col>
          <xdr:colOff>335280</xdr:colOff>
          <xdr:row>188</xdr:row>
          <xdr:rowOff>541020</xdr:rowOff>
        </xdr:to>
        <xdr:sp>
          <xdr:nvSpPr>
            <xdr:cNvPr id="1097" name="Object 73" hidden="1">
              <a:extLst>
                <a:ext uri="{63B3BB69-23CF-44E3-9099-C40C66FF867C}">
                  <a14:compatExt spid="_x0000_s1097"/>
                </a:ext>
              </a:extLst>
            </xdr:cNvPr>
            <xdr:cNvSpPr/>
          </xdr:nvSpPr>
          <xdr:spPr>
            <a:xfrm>
              <a:off x="7166610" y="42729785"/>
              <a:ext cx="1769745" cy="73914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30480</xdr:colOff>
          <xdr:row>186</xdr:row>
          <xdr:rowOff>266700</xdr:rowOff>
        </xdr:from>
        <xdr:to>
          <xdr:col>5</xdr:col>
          <xdr:colOff>762000</xdr:colOff>
          <xdr:row>186</xdr:row>
          <xdr:rowOff>457200</xdr:rowOff>
        </xdr:to>
        <xdr:sp>
          <xdr:nvSpPr>
            <xdr:cNvPr id="1098" name="Object 74" hidden="1">
              <a:extLst>
                <a:ext uri="{63B3BB69-23CF-44E3-9099-C40C66FF867C}">
                  <a14:compatExt spid="_x0000_s1098"/>
                </a:ext>
              </a:extLst>
            </xdr:cNvPr>
            <xdr:cNvSpPr/>
          </xdr:nvSpPr>
          <xdr:spPr>
            <a:xfrm>
              <a:off x="5431155" y="41813480"/>
              <a:ext cx="731520" cy="19050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22860</xdr:colOff>
          <xdr:row>189</xdr:row>
          <xdr:rowOff>53340</xdr:rowOff>
        </xdr:from>
        <xdr:to>
          <xdr:col>4</xdr:col>
          <xdr:colOff>259080</xdr:colOff>
          <xdr:row>189</xdr:row>
          <xdr:rowOff>525780</xdr:rowOff>
        </xdr:to>
        <xdr:sp>
          <xdr:nvSpPr>
            <xdr:cNvPr id="1099" name="Object 75" hidden="1">
              <a:extLst>
                <a:ext uri="{63B3BB69-23CF-44E3-9099-C40C66FF867C}">
                  <a14:compatExt spid="_x0000_s1099"/>
                </a:ext>
              </a:extLst>
            </xdr:cNvPr>
            <xdr:cNvSpPr/>
          </xdr:nvSpPr>
          <xdr:spPr>
            <a:xfrm>
              <a:off x="2404110" y="43667045"/>
              <a:ext cx="2617470" cy="472440"/>
            </a:xfrm>
            <a:prstGeom prst="rect">
              <a:avLst/>
            </a:prstGeom>
          </xdr:spPr>
        </xdr:sp>
        <xdr:clientData/>
      </xdr:twoCellAnchor>
    </mc:Choice>
    <mc:Fallback/>
  </mc:AlternateContent>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9524</xdr:colOff>
      <xdr:row>20</xdr:row>
      <xdr:rowOff>28575</xdr:rowOff>
    </xdr:from>
    <xdr:to>
      <xdr:col>8</xdr:col>
      <xdr:colOff>476250</xdr:colOff>
      <xdr:row>38</xdr:row>
      <xdr:rowOff>19050</xdr:rowOff>
    </xdr:to>
    <xdr:pic>
      <xdr:nvPicPr>
        <xdr:cNvPr id="2" name="Picture 31"/>
        <xdr:cNvPicPr>
          <a:picLocks noChangeAspect="1" noChangeArrowheads="1"/>
        </xdr:cNvPicPr>
      </xdr:nvPicPr>
      <xdr:blipFill>
        <a:blip r:embed="rId1" cstate="print"/>
        <a:srcRect/>
        <a:stretch>
          <a:fillRect/>
        </a:stretch>
      </xdr:blipFill>
      <xdr:spPr>
        <a:xfrm>
          <a:off x="5209540" y="4433570"/>
          <a:ext cx="3667760" cy="3899535"/>
        </a:xfrm>
        <a:prstGeom prst="rect">
          <a:avLst/>
        </a:prstGeom>
        <a:noFill/>
        <a:ln w="1">
          <a:noFill/>
          <a:miter lim="800000"/>
          <a:headEnd/>
          <a:tailEnd type="none" w="med" len="med"/>
        </a:ln>
        <a:effectLst/>
      </xdr:spPr>
    </xdr:pic>
    <xdr:clientData/>
  </xdr:twoCellAnchor>
  <xdr:twoCellAnchor editAs="oneCell">
    <xdr:from>
      <xdr:col>10</xdr:col>
      <xdr:colOff>19050</xdr:colOff>
      <xdr:row>8</xdr:row>
      <xdr:rowOff>133350</xdr:rowOff>
    </xdr:from>
    <xdr:to>
      <xdr:col>14</xdr:col>
      <xdr:colOff>276225</xdr:colOff>
      <xdr:row>18</xdr:row>
      <xdr:rowOff>9525</xdr:rowOff>
    </xdr:to>
    <xdr:pic>
      <xdr:nvPicPr>
        <xdr:cNvPr id="3" name="Picture 32"/>
        <xdr:cNvPicPr>
          <a:picLocks noChangeAspect="1" noChangeArrowheads="1"/>
        </xdr:cNvPicPr>
      </xdr:nvPicPr>
      <xdr:blipFill>
        <a:blip r:embed="rId2" cstate="print"/>
        <a:srcRect/>
        <a:stretch>
          <a:fillRect/>
        </a:stretch>
      </xdr:blipFill>
      <xdr:spPr>
        <a:xfrm>
          <a:off x="10496550" y="1932305"/>
          <a:ext cx="3352800" cy="2047875"/>
        </a:xfrm>
        <a:prstGeom prst="rect">
          <a:avLst/>
        </a:prstGeom>
        <a:noFill/>
        <a:ln w="1">
          <a:noFill/>
          <a:miter lim="800000"/>
          <a:headEnd/>
          <a:tailEnd type="none" w="med" len="med"/>
        </a:ln>
        <a:effectLst/>
      </xdr:spPr>
    </xdr:pic>
    <xdr:clientData/>
  </xdr:twoCellAnchor>
  <xdr:twoCellAnchor editAs="oneCell">
    <xdr:from>
      <xdr:col>8</xdr:col>
      <xdr:colOff>504824</xdr:colOff>
      <xdr:row>20</xdr:row>
      <xdr:rowOff>9525</xdr:rowOff>
    </xdr:from>
    <xdr:to>
      <xdr:col>12</xdr:col>
      <xdr:colOff>504825</xdr:colOff>
      <xdr:row>38</xdr:row>
      <xdr:rowOff>153487</xdr:rowOff>
    </xdr:to>
    <xdr:pic>
      <xdr:nvPicPr>
        <xdr:cNvPr id="4" name="Picture 34"/>
        <xdr:cNvPicPr>
          <a:picLocks noChangeAspect="1" noChangeArrowheads="1"/>
        </xdr:cNvPicPr>
      </xdr:nvPicPr>
      <xdr:blipFill>
        <a:blip r:embed="rId3" cstate="print"/>
        <a:srcRect/>
        <a:stretch>
          <a:fillRect/>
        </a:stretch>
      </xdr:blipFill>
      <xdr:spPr>
        <a:xfrm>
          <a:off x="8905240" y="4414520"/>
          <a:ext cx="3801110" cy="4052570"/>
        </a:xfrm>
        <a:prstGeom prst="rect">
          <a:avLst/>
        </a:prstGeom>
        <a:noFill/>
        <a:ln w="1">
          <a:noFill/>
          <a:miter lim="800000"/>
          <a:headEnd/>
          <a:tailEnd type="none" w="med" len="med"/>
        </a:ln>
        <a:effectLst/>
      </xdr:spPr>
    </xdr:pic>
    <xdr:clientData/>
  </xdr:twoCellAnchor>
  <xdr:twoCellAnchor editAs="oneCell">
    <xdr:from>
      <xdr:col>8</xdr:col>
      <xdr:colOff>133351</xdr:colOff>
      <xdr:row>40</xdr:row>
      <xdr:rowOff>38100</xdr:rowOff>
    </xdr:from>
    <xdr:to>
      <xdr:col>11</xdr:col>
      <xdr:colOff>171452</xdr:colOff>
      <xdr:row>55</xdr:row>
      <xdr:rowOff>12761</xdr:rowOff>
    </xdr:to>
    <xdr:pic>
      <xdr:nvPicPr>
        <xdr:cNvPr id="5" name="Picture 37"/>
        <xdr:cNvPicPr>
          <a:picLocks noChangeAspect="1" noChangeArrowheads="1"/>
        </xdr:cNvPicPr>
      </xdr:nvPicPr>
      <xdr:blipFill>
        <a:blip r:embed="rId4" cstate="print"/>
        <a:srcRect/>
        <a:stretch>
          <a:fillRect/>
        </a:stretch>
      </xdr:blipFill>
      <xdr:spPr>
        <a:xfrm>
          <a:off x="8534400" y="8786495"/>
          <a:ext cx="3152775" cy="3232150"/>
        </a:xfrm>
        <a:prstGeom prst="rect">
          <a:avLst/>
        </a:prstGeom>
        <a:noFill/>
        <a:ln w="1">
          <a:noFill/>
          <a:miter lim="800000"/>
          <a:headEnd/>
          <a:tailEnd type="none" w="med" len="med"/>
        </a:ln>
        <a:effectLst/>
      </xdr:spPr>
    </xdr:pic>
    <xdr:clientData/>
  </xdr:twoCellAnchor>
  <xdr:twoCellAnchor editAs="oneCell">
    <xdr:from>
      <xdr:col>5</xdr:col>
      <xdr:colOff>76200</xdr:colOff>
      <xdr:row>57</xdr:row>
      <xdr:rowOff>76200</xdr:rowOff>
    </xdr:from>
    <xdr:to>
      <xdr:col>8</xdr:col>
      <xdr:colOff>0</xdr:colOff>
      <xdr:row>69</xdr:row>
      <xdr:rowOff>190500</xdr:rowOff>
    </xdr:to>
    <xdr:pic>
      <xdr:nvPicPr>
        <xdr:cNvPr id="6" name="Picture 38"/>
        <xdr:cNvPicPr>
          <a:picLocks noChangeAspect="1" noChangeArrowheads="1"/>
        </xdr:cNvPicPr>
      </xdr:nvPicPr>
      <xdr:blipFill>
        <a:blip r:embed="rId5" cstate="print"/>
        <a:srcRect/>
        <a:stretch>
          <a:fillRect/>
        </a:stretch>
      </xdr:blipFill>
      <xdr:spPr>
        <a:xfrm>
          <a:off x="5276850" y="12516485"/>
          <a:ext cx="3124200" cy="2720340"/>
        </a:xfrm>
        <a:prstGeom prst="rect">
          <a:avLst/>
        </a:prstGeom>
        <a:noFill/>
        <a:ln w="1">
          <a:noFill/>
          <a:miter lim="800000"/>
          <a:headEnd/>
          <a:tailEnd type="none" w="med" len="med"/>
        </a:ln>
        <a:effectLst/>
      </xdr:spPr>
    </xdr:pic>
    <xdr:clientData/>
  </xdr:twoCellAnchor>
  <xdr:twoCellAnchor editAs="oneCell">
    <xdr:from>
      <xdr:col>8</xdr:col>
      <xdr:colOff>0</xdr:colOff>
      <xdr:row>57</xdr:row>
      <xdr:rowOff>0</xdr:rowOff>
    </xdr:from>
    <xdr:to>
      <xdr:col>11</xdr:col>
      <xdr:colOff>152400</xdr:colOff>
      <xdr:row>69</xdr:row>
      <xdr:rowOff>180975</xdr:rowOff>
    </xdr:to>
    <xdr:pic>
      <xdr:nvPicPr>
        <xdr:cNvPr id="7" name="Picture 39"/>
        <xdr:cNvPicPr>
          <a:picLocks noChangeAspect="1" noChangeArrowheads="1"/>
        </xdr:cNvPicPr>
      </xdr:nvPicPr>
      <xdr:blipFill>
        <a:blip r:embed="rId6" cstate="print"/>
        <a:srcRect/>
        <a:stretch>
          <a:fillRect/>
        </a:stretch>
      </xdr:blipFill>
      <xdr:spPr>
        <a:xfrm>
          <a:off x="8401050" y="12440285"/>
          <a:ext cx="3267075" cy="2787015"/>
        </a:xfrm>
        <a:prstGeom prst="rect">
          <a:avLst/>
        </a:prstGeom>
        <a:noFill/>
        <a:ln w="1">
          <a:noFill/>
          <a:miter lim="800000"/>
          <a:headEnd/>
          <a:tailEnd type="none" w="med" len="med"/>
        </a:ln>
        <a:effectLst/>
      </xdr:spPr>
    </xdr:pic>
    <xdr:clientData/>
  </xdr:twoCellAnchor>
  <xdr:twoCellAnchor editAs="oneCell">
    <xdr:from>
      <xdr:col>5</xdr:col>
      <xdr:colOff>38100</xdr:colOff>
      <xdr:row>40</xdr:row>
      <xdr:rowOff>38101</xdr:rowOff>
    </xdr:from>
    <xdr:to>
      <xdr:col>7</xdr:col>
      <xdr:colOff>857250</xdr:colOff>
      <xdr:row>55</xdr:row>
      <xdr:rowOff>14663</xdr:rowOff>
    </xdr:to>
    <xdr:pic>
      <xdr:nvPicPr>
        <xdr:cNvPr id="8" name="Picture 40"/>
        <xdr:cNvPicPr>
          <a:picLocks noChangeAspect="1" noChangeArrowheads="1"/>
        </xdr:cNvPicPr>
      </xdr:nvPicPr>
      <xdr:blipFill>
        <a:blip r:embed="rId7" cstate="print"/>
        <a:srcRect/>
        <a:stretch>
          <a:fillRect/>
        </a:stretch>
      </xdr:blipFill>
      <xdr:spPr>
        <a:xfrm>
          <a:off x="5238750" y="8786495"/>
          <a:ext cx="2981325" cy="3234055"/>
        </a:xfrm>
        <a:prstGeom prst="rect">
          <a:avLst/>
        </a:prstGeom>
        <a:noFill/>
        <a:ln w="1">
          <a:noFill/>
          <a:miter lim="800000"/>
          <a:headEnd/>
          <a:tailEnd type="none" w="med" len="med"/>
        </a:ln>
        <a:effectLst/>
      </xdr:spPr>
    </xdr:pic>
    <xdr:clientData/>
  </xdr:twoCellAnchor>
  <xdr:twoCellAnchor>
    <xdr:from>
      <xdr:col>5</xdr:col>
      <xdr:colOff>0</xdr:colOff>
      <xdr:row>72</xdr:row>
      <xdr:rowOff>28575</xdr:rowOff>
    </xdr:from>
    <xdr:to>
      <xdr:col>6</xdr:col>
      <xdr:colOff>1</xdr:colOff>
      <xdr:row>75</xdr:row>
      <xdr:rowOff>1</xdr:rowOff>
    </xdr:to>
    <xdr:cxnSp>
      <xdr:nvCxnSpPr>
        <xdr:cNvPr id="9" name="直接连接符 8"/>
        <xdr:cNvCxnSpPr/>
      </xdr:nvCxnSpPr>
      <xdr:spPr>
        <a:xfrm flipH="1" flipV="1">
          <a:off x="5200650" y="15726410"/>
          <a:ext cx="1095375" cy="62293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9525</xdr:colOff>
      <xdr:row>14</xdr:row>
      <xdr:rowOff>19050</xdr:rowOff>
    </xdr:from>
    <xdr:to>
      <xdr:col>6</xdr:col>
      <xdr:colOff>0</xdr:colOff>
      <xdr:row>16</xdr:row>
      <xdr:rowOff>0</xdr:rowOff>
    </xdr:to>
    <xdr:cxnSp>
      <xdr:nvCxnSpPr>
        <xdr:cNvPr id="14" name="直接连接符 13"/>
        <xdr:cNvCxnSpPr/>
      </xdr:nvCxnSpPr>
      <xdr:spPr>
        <a:xfrm>
          <a:off x="5210175" y="3121025"/>
          <a:ext cx="1085850" cy="4152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9525</xdr:colOff>
      <xdr:row>0</xdr:row>
      <xdr:rowOff>19050</xdr:rowOff>
    </xdr:from>
    <xdr:to>
      <xdr:col>0</xdr:col>
      <xdr:colOff>819151</xdr:colOff>
      <xdr:row>0</xdr:row>
      <xdr:rowOff>257175</xdr:rowOff>
    </xdr:to>
    <xdr:sp>
      <xdr:nvSpPr>
        <xdr:cNvPr id="11" name="五边形 10">
          <a:hlinkClick xmlns:r="http://schemas.openxmlformats.org/officeDocument/2006/relationships" r:id="rId8"/>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mc:AlternateContent xmlns:mc="http://schemas.openxmlformats.org/markup-compatibility/2006">
    <mc:Choice xmlns:a14="http://schemas.microsoft.com/office/drawing/2010/main" Requires="a14">
      <xdr:twoCellAnchor editAs="oneCell">
        <xdr:from>
          <xdr:col>0</xdr:col>
          <xdr:colOff>906780</xdr:colOff>
          <xdr:row>75</xdr:row>
          <xdr:rowOff>7620</xdr:rowOff>
        </xdr:from>
        <xdr:to>
          <xdr:col>3</xdr:col>
          <xdr:colOff>297180</xdr:colOff>
          <xdr:row>77</xdr:row>
          <xdr:rowOff>152400</xdr:rowOff>
        </xdr:to>
        <xdr:sp>
          <xdr:nvSpPr>
            <xdr:cNvPr id="3093" name="Object 21" hidden="1">
              <a:extLst>
                <a:ext uri="{63B3BB69-23CF-44E3-9099-C40C66FF867C}">
                  <a14:compatExt spid="_x0000_s3093"/>
                </a:ext>
              </a:extLst>
            </xdr:cNvPr>
            <xdr:cNvSpPr/>
          </xdr:nvSpPr>
          <xdr:spPr>
            <a:xfrm>
              <a:off x="906780" y="16356965"/>
              <a:ext cx="2962275" cy="57912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906780</xdr:colOff>
          <xdr:row>78</xdr:row>
          <xdr:rowOff>7620</xdr:rowOff>
        </xdr:from>
        <xdr:to>
          <xdr:col>3</xdr:col>
          <xdr:colOff>297180</xdr:colOff>
          <xdr:row>81</xdr:row>
          <xdr:rowOff>0</xdr:rowOff>
        </xdr:to>
        <xdr:sp>
          <xdr:nvSpPr>
            <xdr:cNvPr id="3094" name="Object 22" hidden="1">
              <a:extLst>
                <a:ext uri="{63B3BB69-23CF-44E3-9099-C40C66FF867C}">
                  <a14:compatExt spid="_x0000_s3094"/>
                </a:ext>
              </a:extLst>
            </xdr:cNvPr>
            <xdr:cNvSpPr/>
          </xdr:nvSpPr>
          <xdr:spPr>
            <a:xfrm>
              <a:off x="906780" y="17008475"/>
              <a:ext cx="2962275" cy="643890"/>
            </a:xfrm>
            <a:prstGeom prst="rect">
              <a:avLst/>
            </a:prstGeom>
          </xdr:spPr>
        </xdr:sp>
        <xdr:clientData/>
      </xdr:twoCellAnchor>
    </mc:Choice>
    <mc:Fallback/>
  </mc:AlternateContent>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xdr:from>
      <xdr:col>0</xdr:col>
      <xdr:colOff>161927</xdr:colOff>
      <xdr:row>84</xdr:row>
      <xdr:rowOff>85725</xdr:rowOff>
    </xdr:from>
    <xdr:to>
      <xdr:col>0</xdr:col>
      <xdr:colOff>504825</xdr:colOff>
      <xdr:row>88</xdr:row>
      <xdr:rowOff>57150</xdr:rowOff>
    </xdr:to>
    <xdr:grpSp>
      <xdr:nvGrpSpPr>
        <xdr:cNvPr id="42" name="组合 41"/>
        <xdr:cNvGrpSpPr/>
      </xdr:nvGrpSpPr>
      <xdr:grpSpPr>
        <a:xfrm>
          <a:off x="161925" y="18381980"/>
          <a:ext cx="342900" cy="840105"/>
          <a:chOff x="195" y="3276"/>
          <a:chExt cx="414" cy="810"/>
        </a:xfrm>
      </xdr:grpSpPr>
      <xdr:grpSp>
        <xdr:nvGrpSpPr>
          <xdr:cNvPr id="43" name="组合 42"/>
          <xdr:cNvGrpSpPr/>
        </xdr:nvGrpSpPr>
        <xdr:grpSpPr>
          <a:xfrm>
            <a:off x="298" y="3392"/>
            <a:ext cx="232" cy="590"/>
            <a:chOff x="298" y="3392"/>
            <a:chExt cx="232" cy="590"/>
          </a:xfrm>
        </xdr:grpSpPr>
        <xdr:sp>
          <xdr:nvSpPr>
            <xdr:cNvPr id="45" name="直接连接符 44"/>
            <xdr:cNvSpPr/>
          </xdr:nvSpPr>
          <xdr:spPr>
            <a:xfrm>
              <a:off x="348" y="3684"/>
              <a:ext cx="182" cy="0"/>
            </a:xfrm>
            <a:prstGeom prst="line">
              <a:avLst/>
            </a:prstGeom>
            <a:ln w="38100" cap="flat" cmpd="sng">
              <a:solidFill>
                <a:schemeClr val="tx2"/>
              </a:solidFill>
              <a:prstDash val="solid"/>
              <a:headEnd type="none" w="sm" len="lg"/>
              <a:tailEnd type="none" w="sm" len="lg"/>
            </a:ln>
          </xdr:spPr>
        </xdr:sp>
        <xdr:sp>
          <xdr:nvSpPr>
            <xdr:cNvPr id="46" name="椭圆 45"/>
            <xdr:cNvSpPr/>
          </xdr:nvSpPr>
          <xdr:spPr>
            <a:xfrm>
              <a:off x="304" y="3692"/>
              <a:ext cx="110" cy="290"/>
            </a:xfrm>
            <a:prstGeom prst="ellipse">
              <a:avLst/>
            </a:prstGeom>
            <a:solidFill>
              <a:srgbClr val="CC6600"/>
            </a:solidFill>
            <a:ln w="19050"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47" name="椭圆 46"/>
            <xdr:cNvSpPr/>
          </xdr:nvSpPr>
          <xdr:spPr>
            <a:xfrm>
              <a:off x="298" y="3392"/>
              <a:ext cx="110" cy="290"/>
            </a:xfrm>
            <a:prstGeom prst="ellipse">
              <a:avLst/>
            </a:prstGeom>
            <a:solidFill>
              <a:srgbClr val="CC6600"/>
            </a:solidFill>
            <a:ln w="19050"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sp>
        <xdr:nvSpPr>
          <xdr:cNvPr id="44" name="任意多边形 43"/>
          <xdr:cNvSpPr/>
        </xdr:nvSpPr>
        <xdr:spPr>
          <a:xfrm>
            <a:off x="195" y="3276"/>
            <a:ext cx="414" cy="810"/>
          </a:xfrm>
          <a:custGeom>
            <a:avLst/>
            <a:gdLst/>
            <a:ahLst/>
            <a:cxnLst/>
            <a:rect l="0" t="0" r="0" b="0"/>
            <a:pathLst>
              <a:path w="414" h="810">
                <a:moveTo>
                  <a:pt x="414" y="0"/>
                </a:moveTo>
                <a:lnTo>
                  <a:pt x="414" y="54"/>
                </a:lnTo>
                <a:lnTo>
                  <a:pt x="48" y="54"/>
                </a:lnTo>
                <a:lnTo>
                  <a:pt x="24" y="66"/>
                </a:lnTo>
                <a:lnTo>
                  <a:pt x="0" y="87"/>
                </a:lnTo>
                <a:lnTo>
                  <a:pt x="0" y="741"/>
                </a:lnTo>
                <a:lnTo>
                  <a:pt x="15" y="765"/>
                </a:lnTo>
                <a:lnTo>
                  <a:pt x="45" y="777"/>
                </a:lnTo>
                <a:lnTo>
                  <a:pt x="414" y="777"/>
                </a:lnTo>
                <a:lnTo>
                  <a:pt x="414" y="810"/>
                </a:lnTo>
              </a:path>
            </a:pathLst>
          </a:custGeom>
          <a:noFill/>
          <a:ln w="28575" cap="flat" cmpd="sng">
            <a:solidFill>
              <a:srgbClr val="FF0000"/>
            </a:solidFill>
            <a:prstDash val="sysDot"/>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clientData/>
  </xdr:twoCellAnchor>
  <xdr:twoCellAnchor>
    <xdr:from>
      <xdr:col>0</xdr:col>
      <xdr:colOff>428625</xdr:colOff>
      <xdr:row>81</xdr:row>
      <xdr:rowOff>57152</xdr:rowOff>
    </xdr:from>
    <xdr:to>
      <xdr:col>1</xdr:col>
      <xdr:colOff>495299</xdr:colOff>
      <xdr:row>88</xdr:row>
      <xdr:rowOff>133350</xdr:rowOff>
    </xdr:to>
    <xdr:grpSp>
      <xdr:nvGrpSpPr>
        <xdr:cNvPr id="48" name="组合 47"/>
        <xdr:cNvGrpSpPr/>
      </xdr:nvGrpSpPr>
      <xdr:grpSpPr>
        <a:xfrm>
          <a:off x="428625" y="17701895"/>
          <a:ext cx="1256665" cy="1596390"/>
          <a:chOff x="848" y="2660"/>
          <a:chExt cx="1245" cy="1526"/>
        </a:xfrm>
      </xdr:grpSpPr>
      <xdr:grpSp>
        <xdr:nvGrpSpPr>
          <xdr:cNvPr id="49" name="组合 48"/>
          <xdr:cNvGrpSpPr/>
        </xdr:nvGrpSpPr>
        <xdr:grpSpPr>
          <a:xfrm>
            <a:off x="848" y="2660"/>
            <a:ext cx="1245" cy="1189"/>
            <a:chOff x="848" y="2744"/>
            <a:chExt cx="1245" cy="1189"/>
          </a:xfrm>
        </xdr:grpSpPr>
        <xdr:sp>
          <xdr:nvSpPr>
            <xdr:cNvPr id="73" name="直接连接符 72"/>
            <xdr:cNvSpPr/>
          </xdr:nvSpPr>
          <xdr:spPr>
            <a:xfrm>
              <a:off x="848" y="3803"/>
              <a:ext cx="1245" cy="0"/>
            </a:xfrm>
            <a:prstGeom prst="line">
              <a:avLst/>
            </a:prstGeom>
            <a:ln w="38100" cap="flat" cmpd="sng">
              <a:solidFill>
                <a:schemeClr val="tx2"/>
              </a:solidFill>
              <a:prstDash val="solid"/>
              <a:headEnd type="none" w="med" len="med"/>
              <a:tailEnd type="none" w="med" len="med"/>
            </a:ln>
          </xdr:spPr>
        </xdr:sp>
        <xdr:sp>
          <xdr:nvSpPr>
            <xdr:cNvPr id="74" name="椭圆 73"/>
            <xdr:cNvSpPr/>
          </xdr:nvSpPr>
          <xdr:spPr>
            <a:xfrm>
              <a:off x="1062" y="2844"/>
              <a:ext cx="813" cy="797"/>
            </a:xfrm>
            <a:prstGeom prst="ellipse">
              <a:avLst/>
            </a:prstGeom>
            <a:noFill/>
            <a:ln w="28575" cap="flat" cmpd="sng">
              <a:solidFill>
                <a:schemeClr val="tx2"/>
              </a:solidFill>
              <a:prstDash val="solid"/>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75" name="直接连接符 74"/>
            <xdr:cNvSpPr/>
          </xdr:nvSpPr>
          <xdr:spPr>
            <a:xfrm>
              <a:off x="968" y="3233"/>
              <a:ext cx="1021" cy="0"/>
            </a:xfrm>
            <a:prstGeom prst="line">
              <a:avLst/>
            </a:prstGeom>
            <a:ln w="19050" cap="flat" cmpd="sng">
              <a:solidFill>
                <a:schemeClr val="tx2"/>
              </a:solidFill>
              <a:prstDash val="lgDashDot"/>
              <a:headEnd type="none" w="med" len="med"/>
              <a:tailEnd type="none" w="med" len="med"/>
            </a:ln>
          </xdr:spPr>
        </xdr:sp>
        <xdr:sp>
          <xdr:nvSpPr>
            <xdr:cNvPr id="76" name="直接连接符 75"/>
            <xdr:cNvSpPr/>
          </xdr:nvSpPr>
          <xdr:spPr>
            <a:xfrm>
              <a:off x="1465" y="2744"/>
              <a:ext cx="0" cy="971"/>
            </a:xfrm>
            <a:prstGeom prst="line">
              <a:avLst/>
            </a:prstGeom>
            <a:ln w="19050" cap="flat" cmpd="sng">
              <a:solidFill>
                <a:schemeClr val="tx2"/>
              </a:solidFill>
              <a:prstDash val="lgDashDot"/>
              <a:headEnd type="none" w="med" len="med"/>
              <a:tailEnd type="none" w="med" len="med"/>
            </a:ln>
          </xdr:spPr>
        </xdr:sp>
        <xdr:sp>
          <xdr:nvSpPr>
            <xdr:cNvPr id="77" name="矩形 76"/>
            <xdr:cNvSpPr/>
          </xdr:nvSpPr>
          <xdr:spPr>
            <a:xfrm>
              <a:off x="1073" y="3654"/>
              <a:ext cx="753" cy="279"/>
            </a:xfrm>
            <a:prstGeom prst="rect">
              <a:avLst/>
            </a:prstGeom>
            <a:noFill/>
            <a:ln w="28575" cap="flat" cmpd="sng">
              <a:solidFill>
                <a:schemeClr val="tx2"/>
              </a:solidFill>
              <a:prstDash val="solid"/>
              <a:miter/>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78" name="椭圆 77"/>
            <xdr:cNvSpPr/>
          </xdr:nvSpPr>
          <xdr:spPr>
            <a:xfrm>
              <a:off x="1427" y="3634"/>
              <a:ext cx="46" cy="43"/>
            </a:xfrm>
            <a:prstGeom prst="ellipse">
              <a:avLst/>
            </a:prstGeom>
            <a:solidFill>
              <a:srgbClr val="333399"/>
            </a:solidFill>
            <a:ln w="19050" cap="flat" cmpd="sng">
              <a:solidFill>
                <a:schemeClr val="tx2"/>
              </a:solidFill>
              <a:prstDash val="solid"/>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79" name="椭圆 78"/>
            <xdr:cNvSpPr/>
          </xdr:nvSpPr>
          <xdr:spPr>
            <a:xfrm>
              <a:off x="1439" y="3210"/>
              <a:ext cx="47" cy="43"/>
            </a:xfrm>
            <a:prstGeom prst="ellipse">
              <a:avLst/>
            </a:prstGeom>
            <a:solidFill>
              <a:srgbClr val="333399"/>
            </a:solidFill>
            <a:ln w="19050" cap="flat" cmpd="sng">
              <a:solidFill>
                <a:schemeClr val="tx2"/>
              </a:solidFill>
              <a:prstDash val="solid"/>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grpSp>
        <xdr:nvGrpSpPr>
          <xdr:cNvPr id="50" name="组合 49"/>
          <xdr:cNvGrpSpPr/>
        </xdr:nvGrpSpPr>
        <xdr:grpSpPr>
          <a:xfrm>
            <a:off x="906" y="2699"/>
            <a:ext cx="1128" cy="1487"/>
            <a:chOff x="906" y="2783"/>
            <a:chExt cx="1128" cy="1487"/>
          </a:xfrm>
        </xdr:grpSpPr>
        <xdr:grpSp>
          <xdr:nvGrpSpPr>
            <xdr:cNvPr id="57" name="组合 56"/>
            <xdr:cNvGrpSpPr/>
          </xdr:nvGrpSpPr>
          <xdr:grpSpPr>
            <a:xfrm>
              <a:off x="930" y="2783"/>
              <a:ext cx="1074" cy="446"/>
              <a:chOff x="930" y="2783"/>
              <a:chExt cx="1074" cy="446"/>
            </a:xfrm>
          </xdr:grpSpPr>
          <xdr:grpSp>
            <xdr:nvGrpSpPr>
              <xdr:cNvPr id="68" name="组合 67"/>
              <xdr:cNvGrpSpPr/>
            </xdr:nvGrpSpPr>
            <xdr:grpSpPr>
              <a:xfrm>
                <a:off x="992" y="2783"/>
                <a:ext cx="953" cy="446"/>
                <a:chOff x="968" y="2783"/>
                <a:chExt cx="987" cy="446"/>
              </a:xfrm>
            </xdr:grpSpPr>
            <xdr:sp>
              <xdr:nvSpPr>
                <xdr:cNvPr id="71" name="任意多边形 70"/>
                <xdr:cNvSpPr/>
              </xdr:nvSpPr>
              <xdr:spPr>
                <a:xfrm>
                  <a:off x="1462" y="2783"/>
                  <a:ext cx="493" cy="446"/>
                </a:xfrm>
                <a:custGeom>
                  <a:avLst/>
                  <a:gdLst>
                    <a:gd name="txL" fmla="*/ 0 w 21574"/>
                    <a:gd name="txT" fmla="*/ 0 h 21600"/>
                    <a:gd name="txR" fmla="*/ 21574 w 21574"/>
                    <a:gd name="txB" fmla="*/ 21600 h 21600"/>
                  </a:gdLst>
                  <a:ahLst/>
                  <a:cxnLst>
                    <a:cxn ang="270">
                      <a:pos x="0" y="0"/>
                    </a:cxn>
                    <a:cxn ang="0">
                      <a:pos x="21573" y="20536"/>
                    </a:cxn>
                    <a:cxn ang="90">
                      <a:pos x="0" y="21600"/>
                    </a:cxn>
                  </a:cxnLst>
                  <a:rect l="txL" t="txT" r="txR" b="txB"/>
                  <a:pathLst>
                    <a:path w="21574" h="21600" fill="none">
                      <a:moveTo>
                        <a:pt x="0" y="0"/>
                      </a:moveTo>
                      <a:arcTo wR="21600" hR="21600" stAng="-5400000" swAng="5230584"/>
                    </a:path>
                    <a:path w="21574" h="21600" stroke="0">
                      <a:moveTo>
                        <a:pt x="0" y="0"/>
                      </a:moveTo>
                      <a:arcTo wR="21600" hR="21600" stAng="-5400000" swAng="5230584"/>
                      <a:lnTo>
                        <a:pt x="0" y="21600"/>
                      </a:lnTo>
                      <a:close/>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72" name="任意多边形 71"/>
                <xdr:cNvSpPr/>
              </xdr:nvSpPr>
              <xdr:spPr>
                <a:xfrm flipH="1">
                  <a:off x="968" y="2783"/>
                  <a:ext cx="493" cy="446"/>
                </a:xfrm>
                <a:custGeom>
                  <a:avLst/>
                  <a:gdLst>
                    <a:gd name="txL" fmla="*/ 0 w 21574"/>
                    <a:gd name="txT" fmla="*/ 0 h 21600"/>
                    <a:gd name="txR" fmla="*/ 21574 w 21574"/>
                    <a:gd name="txB" fmla="*/ 21600 h 21600"/>
                  </a:gdLst>
                  <a:ahLst/>
                  <a:cxnLst>
                    <a:cxn ang="270">
                      <a:pos x="0" y="0"/>
                    </a:cxn>
                    <a:cxn ang="0">
                      <a:pos x="21573" y="20536"/>
                    </a:cxn>
                    <a:cxn ang="90">
                      <a:pos x="0" y="21600"/>
                    </a:cxn>
                  </a:cxnLst>
                  <a:rect l="txL" t="txT" r="txR" b="txB"/>
                  <a:pathLst>
                    <a:path w="21574" h="21600" fill="none">
                      <a:moveTo>
                        <a:pt x="0" y="0"/>
                      </a:moveTo>
                      <a:arcTo wR="21600" hR="21600" stAng="-5400000" swAng="5230584"/>
                    </a:path>
                    <a:path w="21574" h="21600" stroke="0">
                      <a:moveTo>
                        <a:pt x="0" y="0"/>
                      </a:moveTo>
                      <a:arcTo wR="21600" hR="21600" stAng="-5400000" swAng="5230584"/>
                      <a:lnTo>
                        <a:pt x="0" y="21600"/>
                      </a:lnTo>
                      <a:close/>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sp>
            <xdr:nvSpPr>
              <xdr:cNvPr id="69" name="直接连接符 68"/>
              <xdr:cNvSpPr/>
            </xdr:nvSpPr>
            <xdr:spPr>
              <a:xfrm flipH="1">
                <a:off x="930" y="3200"/>
                <a:ext cx="70" cy="0"/>
              </a:xfrm>
              <a:prstGeom prst="line">
                <a:avLst/>
              </a:prstGeom>
              <a:ln w="28575" cap="flat" cmpd="sng">
                <a:solidFill>
                  <a:schemeClr val="tx2"/>
                </a:solidFill>
                <a:prstDash val="solid"/>
                <a:headEnd type="none" w="sm" len="lg"/>
                <a:tailEnd type="none" w="sm" len="lg"/>
              </a:ln>
            </xdr:spPr>
          </xdr:sp>
          <xdr:sp>
            <xdr:nvSpPr>
              <xdr:cNvPr id="70" name="直接连接符 69"/>
              <xdr:cNvSpPr/>
            </xdr:nvSpPr>
            <xdr:spPr>
              <a:xfrm flipH="1">
                <a:off x="1934" y="3204"/>
                <a:ext cx="70" cy="0"/>
              </a:xfrm>
              <a:prstGeom prst="line">
                <a:avLst/>
              </a:prstGeom>
              <a:ln w="28575" cap="flat" cmpd="sng">
                <a:solidFill>
                  <a:schemeClr val="tx2"/>
                </a:solidFill>
                <a:prstDash val="solid"/>
                <a:headEnd type="none" w="sm" len="lg"/>
                <a:tailEnd type="none" w="sm" len="lg"/>
              </a:ln>
            </xdr:spPr>
          </xdr:sp>
        </xdr:grpSp>
        <xdr:grpSp>
          <xdr:nvGrpSpPr>
            <xdr:cNvPr id="58" name="组合 57"/>
            <xdr:cNvGrpSpPr/>
          </xdr:nvGrpSpPr>
          <xdr:grpSpPr>
            <a:xfrm>
              <a:off x="930" y="3254"/>
              <a:ext cx="74" cy="516"/>
              <a:chOff x="930" y="3254"/>
              <a:chExt cx="74" cy="516"/>
            </a:xfrm>
          </xdr:grpSpPr>
          <xdr:sp>
            <xdr:nvSpPr>
              <xdr:cNvPr id="65" name="直接连接符 64"/>
              <xdr:cNvSpPr/>
            </xdr:nvSpPr>
            <xdr:spPr>
              <a:xfrm flipH="1">
                <a:off x="934" y="3254"/>
                <a:ext cx="70" cy="0"/>
              </a:xfrm>
              <a:prstGeom prst="line">
                <a:avLst/>
              </a:prstGeom>
              <a:ln w="28575" cap="flat" cmpd="sng">
                <a:solidFill>
                  <a:schemeClr val="tx2"/>
                </a:solidFill>
                <a:prstDash val="solid"/>
                <a:headEnd type="none" w="sm" len="lg"/>
                <a:tailEnd type="none" w="sm" len="lg"/>
              </a:ln>
            </xdr:spPr>
          </xdr:sp>
          <xdr:sp>
            <xdr:nvSpPr>
              <xdr:cNvPr id="66" name="直接连接符 65"/>
              <xdr:cNvSpPr/>
            </xdr:nvSpPr>
            <xdr:spPr>
              <a:xfrm>
                <a:off x="966" y="3256"/>
                <a:ext cx="0" cy="514"/>
              </a:xfrm>
              <a:prstGeom prst="line">
                <a:avLst/>
              </a:prstGeom>
              <a:ln w="28575" cap="flat" cmpd="sng">
                <a:solidFill>
                  <a:schemeClr val="tx2"/>
                </a:solidFill>
                <a:prstDash val="solid"/>
                <a:headEnd type="none" w="sm" len="lg"/>
                <a:tailEnd type="none" w="sm" len="lg"/>
              </a:ln>
            </xdr:spPr>
          </xdr:sp>
          <xdr:sp>
            <xdr:nvSpPr>
              <xdr:cNvPr id="67" name="直接连接符 66"/>
              <xdr:cNvSpPr/>
            </xdr:nvSpPr>
            <xdr:spPr>
              <a:xfrm>
                <a:off x="930" y="3764"/>
                <a:ext cx="68" cy="0"/>
              </a:xfrm>
              <a:prstGeom prst="line">
                <a:avLst/>
              </a:prstGeom>
              <a:ln w="28575" cap="flat" cmpd="sng">
                <a:solidFill>
                  <a:schemeClr val="tx2"/>
                </a:solidFill>
                <a:prstDash val="solid"/>
                <a:headEnd type="none" w="sm" len="lg"/>
                <a:tailEnd type="none" w="sm" len="lg"/>
              </a:ln>
            </xdr:spPr>
          </xdr:sp>
        </xdr:grpSp>
        <xdr:grpSp>
          <xdr:nvGrpSpPr>
            <xdr:cNvPr id="59" name="组合 58"/>
            <xdr:cNvGrpSpPr/>
          </xdr:nvGrpSpPr>
          <xdr:grpSpPr>
            <a:xfrm>
              <a:off x="1932" y="3258"/>
              <a:ext cx="74" cy="516"/>
              <a:chOff x="930" y="3254"/>
              <a:chExt cx="74" cy="516"/>
            </a:xfrm>
          </xdr:grpSpPr>
          <xdr:sp>
            <xdr:nvSpPr>
              <xdr:cNvPr id="62" name="直接连接符 61"/>
              <xdr:cNvSpPr/>
            </xdr:nvSpPr>
            <xdr:spPr>
              <a:xfrm flipH="1">
                <a:off x="934" y="3254"/>
                <a:ext cx="70" cy="0"/>
              </a:xfrm>
              <a:prstGeom prst="line">
                <a:avLst/>
              </a:prstGeom>
              <a:ln w="28575" cap="flat" cmpd="sng">
                <a:solidFill>
                  <a:schemeClr val="tx2"/>
                </a:solidFill>
                <a:prstDash val="solid"/>
                <a:headEnd type="none" w="sm" len="lg"/>
                <a:tailEnd type="none" w="sm" len="lg"/>
              </a:ln>
            </xdr:spPr>
          </xdr:sp>
          <xdr:sp>
            <xdr:nvSpPr>
              <xdr:cNvPr id="63" name="直接连接符 62"/>
              <xdr:cNvSpPr/>
            </xdr:nvSpPr>
            <xdr:spPr>
              <a:xfrm>
                <a:off x="966" y="3256"/>
                <a:ext cx="0" cy="514"/>
              </a:xfrm>
              <a:prstGeom prst="line">
                <a:avLst/>
              </a:prstGeom>
              <a:ln w="28575" cap="flat" cmpd="sng">
                <a:solidFill>
                  <a:schemeClr val="tx2"/>
                </a:solidFill>
                <a:prstDash val="solid"/>
                <a:headEnd type="none" w="sm" len="lg"/>
                <a:tailEnd type="none" w="sm" len="lg"/>
              </a:ln>
            </xdr:spPr>
          </xdr:sp>
          <xdr:sp>
            <xdr:nvSpPr>
              <xdr:cNvPr id="64" name="直接连接符 63"/>
              <xdr:cNvSpPr/>
            </xdr:nvSpPr>
            <xdr:spPr>
              <a:xfrm>
                <a:off x="930" y="3764"/>
                <a:ext cx="68" cy="0"/>
              </a:xfrm>
              <a:prstGeom prst="line">
                <a:avLst/>
              </a:prstGeom>
              <a:ln w="28575" cap="flat" cmpd="sng">
                <a:solidFill>
                  <a:schemeClr val="tx2"/>
                </a:solidFill>
                <a:prstDash val="solid"/>
                <a:headEnd type="none" w="sm" len="lg"/>
                <a:tailEnd type="none" w="sm" len="lg"/>
              </a:ln>
            </xdr:spPr>
          </xdr:sp>
        </xdr:grpSp>
        <xdr:sp>
          <xdr:nvSpPr>
            <xdr:cNvPr id="60" name="任意多边形 59"/>
            <xdr:cNvSpPr/>
          </xdr:nvSpPr>
          <xdr:spPr>
            <a:xfrm>
              <a:off x="906" y="3838"/>
              <a:ext cx="546" cy="432"/>
            </a:xfrm>
            <a:custGeom>
              <a:avLst/>
              <a:gdLst/>
              <a:ahLst/>
              <a:cxnLst/>
              <a:rect l="0" t="0" r="0" b="0"/>
              <a:pathLst>
                <a:path w="546" h="432">
                  <a:moveTo>
                    <a:pt x="26" y="0"/>
                  </a:moveTo>
                  <a:lnTo>
                    <a:pt x="88" y="0"/>
                  </a:lnTo>
                  <a:lnTo>
                    <a:pt x="56" y="0"/>
                  </a:lnTo>
                  <a:lnTo>
                    <a:pt x="56" y="350"/>
                  </a:lnTo>
                  <a:lnTo>
                    <a:pt x="50" y="386"/>
                  </a:lnTo>
                  <a:lnTo>
                    <a:pt x="36" y="404"/>
                  </a:lnTo>
                  <a:lnTo>
                    <a:pt x="0" y="432"/>
                  </a:lnTo>
                  <a:lnTo>
                    <a:pt x="26" y="412"/>
                  </a:lnTo>
                  <a:lnTo>
                    <a:pt x="46" y="392"/>
                  </a:lnTo>
                  <a:lnTo>
                    <a:pt x="56" y="362"/>
                  </a:lnTo>
                  <a:lnTo>
                    <a:pt x="546" y="362"/>
                  </a:lnTo>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61" name="任意多边形 60"/>
            <xdr:cNvSpPr/>
          </xdr:nvSpPr>
          <xdr:spPr>
            <a:xfrm flipH="1">
              <a:off x="1444" y="3838"/>
              <a:ext cx="590" cy="432"/>
            </a:xfrm>
            <a:custGeom>
              <a:avLst/>
              <a:gdLst/>
              <a:ahLst/>
              <a:cxnLst/>
              <a:rect l="0" t="0" r="0" b="0"/>
              <a:pathLst>
                <a:path w="546" h="432">
                  <a:moveTo>
                    <a:pt x="26" y="0"/>
                  </a:moveTo>
                  <a:lnTo>
                    <a:pt x="88" y="0"/>
                  </a:lnTo>
                  <a:lnTo>
                    <a:pt x="56" y="0"/>
                  </a:lnTo>
                  <a:lnTo>
                    <a:pt x="56" y="350"/>
                  </a:lnTo>
                  <a:lnTo>
                    <a:pt x="50" y="386"/>
                  </a:lnTo>
                  <a:lnTo>
                    <a:pt x="36" y="404"/>
                  </a:lnTo>
                  <a:lnTo>
                    <a:pt x="0" y="432"/>
                  </a:lnTo>
                  <a:lnTo>
                    <a:pt x="26" y="412"/>
                  </a:lnTo>
                  <a:lnTo>
                    <a:pt x="46" y="392"/>
                  </a:lnTo>
                  <a:lnTo>
                    <a:pt x="56" y="362"/>
                  </a:lnTo>
                  <a:lnTo>
                    <a:pt x="546" y="362"/>
                  </a:lnTo>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sp>
        <xdr:nvSpPr>
          <xdr:cNvPr id="51" name="直接连接符 50"/>
          <xdr:cNvSpPr/>
        </xdr:nvSpPr>
        <xdr:spPr>
          <a:xfrm>
            <a:off x="1020" y="3822"/>
            <a:ext cx="904" cy="0"/>
          </a:xfrm>
          <a:prstGeom prst="line">
            <a:avLst/>
          </a:prstGeom>
          <a:ln w="12700" cap="flat" cmpd="sng">
            <a:solidFill>
              <a:schemeClr val="tx2"/>
            </a:solidFill>
            <a:prstDash val="lgDash"/>
            <a:headEnd type="none" w="sm" len="lg"/>
            <a:tailEnd type="none" w="sm" len="lg"/>
          </a:ln>
        </xdr:spPr>
      </xdr:sp>
      <xdr:sp>
        <xdr:nvSpPr>
          <xdr:cNvPr id="52" name="直接连接符 51"/>
          <xdr:cNvSpPr/>
        </xdr:nvSpPr>
        <xdr:spPr>
          <a:xfrm>
            <a:off x="984" y="3870"/>
            <a:ext cx="904" cy="0"/>
          </a:xfrm>
          <a:prstGeom prst="line">
            <a:avLst/>
          </a:prstGeom>
          <a:ln w="12700" cap="flat" cmpd="sng">
            <a:solidFill>
              <a:schemeClr val="tx2"/>
            </a:solidFill>
            <a:prstDash val="lgDash"/>
            <a:headEnd type="none" w="sm" len="lg"/>
            <a:tailEnd type="none" w="sm" len="lg"/>
          </a:ln>
        </xdr:spPr>
      </xdr:sp>
      <xdr:sp>
        <xdr:nvSpPr>
          <xdr:cNvPr id="53" name="直接连接符 52"/>
          <xdr:cNvSpPr/>
        </xdr:nvSpPr>
        <xdr:spPr>
          <a:xfrm>
            <a:off x="1040" y="3914"/>
            <a:ext cx="904" cy="0"/>
          </a:xfrm>
          <a:prstGeom prst="line">
            <a:avLst/>
          </a:prstGeom>
          <a:ln w="12700" cap="flat" cmpd="sng">
            <a:solidFill>
              <a:schemeClr val="tx2"/>
            </a:solidFill>
            <a:prstDash val="lgDash"/>
            <a:headEnd type="none" w="sm" len="lg"/>
            <a:tailEnd type="none" w="sm" len="lg"/>
          </a:ln>
        </xdr:spPr>
      </xdr:sp>
      <xdr:sp>
        <xdr:nvSpPr>
          <xdr:cNvPr id="54" name="直接连接符 53"/>
          <xdr:cNvSpPr/>
        </xdr:nvSpPr>
        <xdr:spPr>
          <a:xfrm>
            <a:off x="986" y="3964"/>
            <a:ext cx="904" cy="0"/>
          </a:xfrm>
          <a:prstGeom prst="line">
            <a:avLst/>
          </a:prstGeom>
          <a:ln w="12700" cap="flat" cmpd="sng">
            <a:solidFill>
              <a:schemeClr val="tx2"/>
            </a:solidFill>
            <a:prstDash val="lgDash"/>
            <a:headEnd type="none" w="sm" len="lg"/>
            <a:tailEnd type="none" w="sm" len="lg"/>
          </a:ln>
        </xdr:spPr>
      </xdr:sp>
      <xdr:sp>
        <xdr:nvSpPr>
          <xdr:cNvPr id="55" name="直接连接符 54"/>
          <xdr:cNvSpPr/>
        </xdr:nvSpPr>
        <xdr:spPr>
          <a:xfrm>
            <a:off x="1036" y="4014"/>
            <a:ext cx="904" cy="0"/>
          </a:xfrm>
          <a:prstGeom prst="line">
            <a:avLst/>
          </a:prstGeom>
          <a:ln w="12700" cap="flat" cmpd="sng">
            <a:solidFill>
              <a:schemeClr val="tx2"/>
            </a:solidFill>
            <a:prstDash val="lgDash"/>
            <a:headEnd type="none" w="sm" len="lg"/>
            <a:tailEnd type="none" w="sm" len="lg"/>
          </a:ln>
        </xdr:spPr>
      </xdr:sp>
      <xdr:sp>
        <xdr:nvSpPr>
          <xdr:cNvPr id="56" name="直接连接符 55"/>
          <xdr:cNvSpPr/>
        </xdr:nvSpPr>
        <xdr:spPr>
          <a:xfrm>
            <a:off x="996" y="4070"/>
            <a:ext cx="904" cy="0"/>
          </a:xfrm>
          <a:prstGeom prst="line">
            <a:avLst/>
          </a:prstGeom>
          <a:ln w="12700" cap="flat" cmpd="sng">
            <a:solidFill>
              <a:schemeClr val="tx2"/>
            </a:solidFill>
            <a:prstDash val="lgDash"/>
            <a:headEnd type="none" w="sm" len="lg"/>
            <a:tailEnd type="none" w="sm" len="lg"/>
          </a:ln>
        </xdr:spPr>
      </xdr:sp>
    </xdr:grpSp>
    <xdr:clientData/>
  </xdr:twoCellAnchor>
  <xdr:twoCellAnchor>
    <xdr:from>
      <xdr:col>1</xdr:col>
      <xdr:colOff>384175</xdr:colOff>
      <xdr:row>85</xdr:row>
      <xdr:rowOff>141288</xdr:rowOff>
    </xdr:from>
    <xdr:to>
      <xdr:col>1</xdr:col>
      <xdr:colOff>636175</xdr:colOff>
      <xdr:row>85</xdr:row>
      <xdr:rowOff>141288</xdr:rowOff>
    </xdr:to>
    <xdr:sp>
      <xdr:nvSpPr>
        <xdr:cNvPr id="87" name="直接连接符 86"/>
        <xdr:cNvSpPr/>
      </xdr:nvSpPr>
      <xdr:spPr>
        <a:xfrm>
          <a:off x="1574800" y="18654395"/>
          <a:ext cx="251460" cy="0"/>
        </a:xfrm>
        <a:prstGeom prst="line">
          <a:avLst/>
        </a:prstGeom>
        <a:ln w="28575" cap="flat" cmpd="sng">
          <a:solidFill>
            <a:srgbClr val="FF0000"/>
          </a:solidFill>
          <a:prstDash val="solid"/>
          <a:headEnd type="none" w="sm" len="lg"/>
          <a:tailEnd type="triangle" w="sm" len="lg"/>
        </a:ln>
      </xdr:spPr>
    </xdr:sp>
    <xdr:clientData/>
  </xdr:twoCellAnchor>
  <xdr:twoCellAnchor>
    <xdr:from>
      <xdr:col>1</xdr:col>
      <xdr:colOff>381000</xdr:colOff>
      <xdr:row>86</xdr:row>
      <xdr:rowOff>66675</xdr:rowOff>
    </xdr:from>
    <xdr:to>
      <xdr:col>1</xdr:col>
      <xdr:colOff>633000</xdr:colOff>
      <xdr:row>86</xdr:row>
      <xdr:rowOff>66675</xdr:rowOff>
    </xdr:to>
    <xdr:sp>
      <xdr:nvSpPr>
        <xdr:cNvPr id="125" name="直接连接符 124"/>
        <xdr:cNvSpPr/>
      </xdr:nvSpPr>
      <xdr:spPr>
        <a:xfrm>
          <a:off x="1571625" y="18797270"/>
          <a:ext cx="251460" cy="0"/>
        </a:xfrm>
        <a:prstGeom prst="line">
          <a:avLst/>
        </a:prstGeom>
        <a:ln w="28575" cap="flat" cmpd="sng">
          <a:solidFill>
            <a:srgbClr val="FF0000"/>
          </a:solidFill>
          <a:prstDash val="solid"/>
          <a:headEnd type="none" w="sm" len="lg"/>
          <a:tailEnd type="triangle" w="sm" len="lg"/>
        </a:ln>
      </xdr:spPr>
    </xdr:sp>
    <xdr:clientData/>
  </xdr:twoCellAnchor>
  <xdr:twoCellAnchor>
    <xdr:from>
      <xdr:col>1</xdr:col>
      <xdr:colOff>381000</xdr:colOff>
      <xdr:row>86</xdr:row>
      <xdr:rowOff>190500</xdr:rowOff>
    </xdr:from>
    <xdr:to>
      <xdr:col>1</xdr:col>
      <xdr:colOff>633000</xdr:colOff>
      <xdr:row>86</xdr:row>
      <xdr:rowOff>190500</xdr:rowOff>
    </xdr:to>
    <xdr:sp>
      <xdr:nvSpPr>
        <xdr:cNvPr id="126" name="直接连接符 125"/>
        <xdr:cNvSpPr/>
      </xdr:nvSpPr>
      <xdr:spPr>
        <a:xfrm>
          <a:off x="1571625" y="18921095"/>
          <a:ext cx="251460" cy="0"/>
        </a:xfrm>
        <a:prstGeom prst="line">
          <a:avLst/>
        </a:prstGeom>
        <a:ln w="28575" cap="flat" cmpd="sng">
          <a:solidFill>
            <a:srgbClr val="FF0000"/>
          </a:solidFill>
          <a:prstDash val="solid"/>
          <a:headEnd type="none" w="sm" len="lg"/>
          <a:tailEnd type="triangle" w="sm" len="lg"/>
        </a:ln>
      </xdr:spPr>
    </xdr:sp>
    <xdr:clientData/>
  </xdr:twoCellAnchor>
  <xdr:twoCellAnchor>
    <xdr:from>
      <xdr:col>1</xdr:col>
      <xdr:colOff>637861</xdr:colOff>
      <xdr:row>85</xdr:row>
      <xdr:rowOff>180683</xdr:rowOff>
    </xdr:from>
    <xdr:to>
      <xdr:col>2</xdr:col>
      <xdr:colOff>820881</xdr:colOff>
      <xdr:row>88</xdr:row>
      <xdr:rowOff>164033</xdr:rowOff>
    </xdr:to>
    <xdr:grpSp>
      <xdr:nvGrpSpPr>
        <xdr:cNvPr id="127" name="组合 126"/>
        <xdr:cNvGrpSpPr/>
      </xdr:nvGrpSpPr>
      <xdr:grpSpPr>
        <a:xfrm>
          <a:off x="1828165" y="18693765"/>
          <a:ext cx="1392555" cy="635000"/>
          <a:chOff x="1888" y="3570"/>
          <a:chExt cx="1472" cy="569"/>
        </a:xfrm>
      </xdr:grpSpPr>
      <xdr:grpSp>
        <xdr:nvGrpSpPr>
          <xdr:cNvPr id="128" name="组合 127"/>
          <xdr:cNvGrpSpPr/>
        </xdr:nvGrpSpPr>
        <xdr:grpSpPr>
          <a:xfrm>
            <a:off x="2180" y="3856"/>
            <a:ext cx="1180" cy="164"/>
            <a:chOff x="2012" y="3856"/>
            <a:chExt cx="1180" cy="164"/>
          </a:xfrm>
        </xdr:grpSpPr>
        <xdr:sp>
          <xdr:nvSpPr>
            <xdr:cNvPr id="130" name="任意多边形 129"/>
            <xdr:cNvSpPr/>
          </xdr:nvSpPr>
          <xdr:spPr>
            <a:xfrm>
              <a:off x="2224" y="3856"/>
              <a:ext cx="968" cy="164"/>
            </a:xfrm>
            <a:custGeom>
              <a:avLst/>
              <a:gdLst/>
              <a:ahLst/>
              <a:cxnLst/>
              <a:rect l="0" t="0" r="0" b="0"/>
              <a:pathLst>
                <a:path w="968" h="164">
                  <a:moveTo>
                    <a:pt x="0" y="0"/>
                  </a:moveTo>
                  <a:lnTo>
                    <a:pt x="942" y="2"/>
                  </a:lnTo>
                  <a:lnTo>
                    <a:pt x="960" y="16"/>
                  </a:lnTo>
                  <a:lnTo>
                    <a:pt x="962" y="38"/>
                  </a:lnTo>
                  <a:lnTo>
                    <a:pt x="948" y="56"/>
                  </a:lnTo>
                  <a:lnTo>
                    <a:pt x="76" y="56"/>
                  </a:lnTo>
                  <a:lnTo>
                    <a:pt x="66" y="72"/>
                  </a:lnTo>
                  <a:lnTo>
                    <a:pt x="68" y="90"/>
                  </a:lnTo>
                  <a:lnTo>
                    <a:pt x="80" y="106"/>
                  </a:lnTo>
                  <a:lnTo>
                    <a:pt x="944" y="106"/>
                  </a:lnTo>
                  <a:lnTo>
                    <a:pt x="954" y="112"/>
                  </a:lnTo>
                  <a:lnTo>
                    <a:pt x="968" y="124"/>
                  </a:lnTo>
                  <a:lnTo>
                    <a:pt x="968" y="140"/>
                  </a:lnTo>
                  <a:lnTo>
                    <a:pt x="952" y="164"/>
                  </a:lnTo>
                  <a:lnTo>
                    <a:pt x="0" y="164"/>
                  </a:lnTo>
                </a:path>
              </a:pathLst>
            </a:custGeom>
            <a:noFill/>
            <a:ln w="28575" cap="flat" cmpd="sng">
              <a:solidFill>
                <a:srgbClr val="FF0000"/>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131" name="直接连接符 130"/>
            <xdr:cNvSpPr/>
          </xdr:nvSpPr>
          <xdr:spPr>
            <a:xfrm>
              <a:off x="2012" y="3856"/>
              <a:ext cx="214" cy="0"/>
            </a:xfrm>
            <a:prstGeom prst="line">
              <a:avLst/>
            </a:prstGeom>
            <a:ln w="28575" cap="flat" cmpd="sng">
              <a:solidFill>
                <a:schemeClr val="tx2"/>
              </a:solidFill>
              <a:prstDash val="solid"/>
              <a:headEnd type="none" w="sm" len="lg"/>
              <a:tailEnd type="triangle" w="med" len="med"/>
            </a:ln>
          </xdr:spPr>
        </xdr:sp>
        <xdr:sp>
          <xdr:nvSpPr>
            <xdr:cNvPr id="132" name="直接连接符 131"/>
            <xdr:cNvSpPr/>
          </xdr:nvSpPr>
          <xdr:spPr>
            <a:xfrm flipH="1">
              <a:off x="2028" y="4020"/>
              <a:ext cx="214" cy="0"/>
            </a:xfrm>
            <a:prstGeom prst="line">
              <a:avLst/>
            </a:prstGeom>
            <a:ln w="28575" cap="flat" cmpd="sng">
              <a:solidFill>
                <a:schemeClr val="tx2"/>
              </a:solidFill>
              <a:prstDash val="solid"/>
              <a:headEnd type="none" w="sm" len="lg"/>
              <a:tailEnd type="triangle" w="med" len="med"/>
            </a:ln>
          </xdr:spPr>
        </xdr:sp>
      </xdr:grpSp>
      <xdr:sp>
        <xdr:nvSpPr>
          <xdr:cNvPr id="129" name="矩形 128"/>
          <xdr:cNvSpPr/>
        </xdr:nvSpPr>
        <xdr:spPr>
          <a:xfrm>
            <a:off x="1888" y="3570"/>
            <a:ext cx="428" cy="569"/>
          </a:xfrm>
          <a:prstGeom prst="rect">
            <a:avLst/>
          </a:prstGeom>
          <a:noFill/>
          <a:ln w="28575">
            <a:noFill/>
          </a:ln>
        </xdr:spPr>
        <xdr:txBody>
          <a:bodyPr wrap="square">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zh-CN" altLang="en-US" sz="1200" b="1">
                <a:solidFill>
                  <a:schemeClr val="tx2"/>
                </a:solidFill>
                <a:latin typeface="华文中宋" panose="02010600040101010101" pitchFamily="2" charset="-122"/>
                <a:ea typeface="华文中宋" panose="02010600040101010101" pitchFamily="2" charset="-122"/>
              </a:rPr>
              <a:t>冷却水</a:t>
            </a:r>
            <a:endParaRPr lang="zh-CN" altLang="en-US" sz="1200" b="1">
              <a:solidFill>
                <a:schemeClr val="tx2"/>
              </a:solidFill>
              <a:latin typeface="华文中宋" panose="02010600040101010101" pitchFamily="2" charset="-122"/>
              <a:ea typeface="华文中宋" panose="02010600040101010101" pitchFamily="2" charset="-122"/>
            </a:endParaRPr>
          </a:p>
        </xdr:txBody>
      </xdr:sp>
    </xdr:grpSp>
    <xdr:clientData/>
  </xdr:twoCellAnchor>
  <xdr:twoCellAnchor>
    <xdr:from>
      <xdr:col>1</xdr:col>
      <xdr:colOff>942975</xdr:colOff>
      <xdr:row>81</xdr:row>
      <xdr:rowOff>66675</xdr:rowOff>
    </xdr:from>
    <xdr:to>
      <xdr:col>2</xdr:col>
      <xdr:colOff>990599</xdr:colOff>
      <xdr:row>88</xdr:row>
      <xdr:rowOff>142873</xdr:rowOff>
    </xdr:to>
    <xdr:grpSp>
      <xdr:nvGrpSpPr>
        <xdr:cNvPr id="133" name="组合 132"/>
        <xdr:cNvGrpSpPr/>
      </xdr:nvGrpSpPr>
      <xdr:grpSpPr>
        <a:xfrm>
          <a:off x="2133600" y="17711420"/>
          <a:ext cx="1256665" cy="1595755"/>
          <a:chOff x="848" y="2660"/>
          <a:chExt cx="1245" cy="1526"/>
        </a:xfrm>
      </xdr:grpSpPr>
      <xdr:grpSp>
        <xdr:nvGrpSpPr>
          <xdr:cNvPr id="134" name="组合 48"/>
          <xdr:cNvGrpSpPr/>
        </xdr:nvGrpSpPr>
        <xdr:grpSpPr>
          <a:xfrm>
            <a:off x="848" y="2660"/>
            <a:ext cx="1245" cy="1189"/>
            <a:chOff x="848" y="2744"/>
            <a:chExt cx="1245" cy="1189"/>
          </a:xfrm>
        </xdr:grpSpPr>
        <xdr:sp>
          <xdr:nvSpPr>
            <xdr:cNvPr id="158" name="直接连接符 157"/>
            <xdr:cNvSpPr/>
          </xdr:nvSpPr>
          <xdr:spPr>
            <a:xfrm>
              <a:off x="848" y="3803"/>
              <a:ext cx="1245" cy="0"/>
            </a:xfrm>
            <a:prstGeom prst="line">
              <a:avLst/>
            </a:prstGeom>
            <a:ln w="38100" cap="flat" cmpd="sng">
              <a:solidFill>
                <a:schemeClr val="tx2"/>
              </a:solidFill>
              <a:prstDash val="solid"/>
              <a:headEnd type="none" w="med" len="med"/>
              <a:tailEnd type="none" w="med" len="med"/>
            </a:ln>
          </xdr:spPr>
        </xdr:sp>
        <xdr:sp>
          <xdr:nvSpPr>
            <xdr:cNvPr id="159" name="椭圆 158"/>
            <xdr:cNvSpPr/>
          </xdr:nvSpPr>
          <xdr:spPr>
            <a:xfrm>
              <a:off x="1062" y="2844"/>
              <a:ext cx="813" cy="797"/>
            </a:xfrm>
            <a:prstGeom prst="ellipse">
              <a:avLst/>
            </a:prstGeom>
            <a:noFill/>
            <a:ln w="28575" cap="flat" cmpd="sng">
              <a:solidFill>
                <a:schemeClr val="tx2"/>
              </a:solidFill>
              <a:prstDash val="solid"/>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160" name="直接连接符 159"/>
            <xdr:cNvSpPr/>
          </xdr:nvSpPr>
          <xdr:spPr>
            <a:xfrm>
              <a:off x="968" y="3233"/>
              <a:ext cx="1021" cy="0"/>
            </a:xfrm>
            <a:prstGeom prst="line">
              <a:avLst/>
            </a:prstGeom>
            <a:ln w="19050" cap="flat" cmpd="sng">
              <a:solidFill>
                <a:schemeClr val="tx2"/>
              </a:solidFill>
              <a:prstDash val="lgDashDot"/>
              <a:headEnd type="none" w="med" len="med"/>
              <a:tailEnd type="none" w="med" len="med"/>
            </a:ln>
          </xdr:spPr>
        </xdr:sp>
        <xdr:sp>
          <xdr:nvSpPr>
            <xdr:cNvPr id="161" name="直接连接符 160"/>
            <xdr:cNvSpPr/>
          </xdr:nvSpPr>
          <xdr:spPr>
            <a:xfrm>
              <a:off x="1465" y="2744"/>
              <a:ext cx="0" cy="971"/>
            </a:xfrm>
            <a:prstGeom prst="line">
              <a:avLst/>
            </a:prstGeom>
            <a:ln w="19050" cap="flat" cmpd="sng">
              <a:solidFill>
                <a:schemeClr val="tx2"/>
              </a:solidFill>
              <a:prstDash val="lgDashDot"/>
              <a:headEnd type="none" w="med" len="med"/>
              <a:tailEnd type="none" w="med" len="med"/>
            </a:ln>
          </xdr:spPr>
        </xdr:sp>
        <xdr:sp>
          <xdr:nvSpPr>
            <xdr:cNvPr id="162" name="矩形 161"/>
            <xdr:cNvSpPr/>
          </xdr:nvSpPr>
          <xdr:spPr>
            <a:xfrm>
              <a:off x="1073" y="3654"/>
              <a:ext cx="753" cy="279"/>
            </a:xfrm>
            <a:prstGeom prst="rect">
              <a:avLst/>
            </a:prstGeom>
            <a:noFill/>
            <a:ln w="28575" cap="flat" cmpd="sng">
              <a:solidFill>
                <a:schemeClr val="tx2"/>
              </a:solidFill>
              <a:prstDash val="solid"/>
              <a:miter/>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163" name="椭圆 162"/>
            <xdr:cNvSpPr/>
          </xdr:nvSpPr>
          <xdr:spPr>
            <a:xfrm>
              <a:off x="1427" y="3634"/>
              <a:ext cx="46" cy="43"/>
            </a:xfrm>
            <a:prstGeom prst="ellipse">
              <a:avLst/>
            </a:prstGeom>
            <a:solidFill>
              <a:srgbClr val="333399"/>
            </a:solidFill>
            <a:ln w="19050" cap="flat" cmpd="sng">
              <a:solidFill>
                <a:schemeClr val="tx2"/>
              </a:solidFill>
              <a:prstDash val="solid"/>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164" name="椭圆 163"/>
            <xdr:cNvSpPr/>
          </xdr:nvSpPr>
          <xdr:spPr>
            <a:xfrm>
              <a:off x="1439" y="3210"/>
              <a:ext cx="47" cy="43"/>
            </a:xfrm>
            <a:prstGeom prst="ellipse">
              <a:avLst/>
            </a:prstGeom>
            <a:solidFill>
              <a:srgbClr val="333399"/>
            </a:solidFill>
            <a:ln w="19050" cap="flat" cmpd="sng">
              <a:solidFill>
                <a:schemeClr val="tx2"/>
              </a:solidFill>
              <a:prstDash val="solid"/>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grpSp>
        <xdr:nvGrpSpPr>
          <xdr:cNvPr id="135" name="组合 49"/>
          <xdr:cNvGrpSpPr/>
        </xdr:nvGrpSpPr>
        <xdr:grpSpPr>
          <a:xfrm>
            <a:off x="906" y="2699"/>
            <a:ext cx="1128" cy="1487"/>
            <a:chOff x="906" y="2783"/>
            <a:chExt cx="1128" cy="1487"/>
          </a:xfrm>
        </xdr:grpSpPr>
        <xdr:grpSp>
          <xdr:nvGrpSpPr>
            <xdr:cNvPr id="142" name="组合 56"/>
            <xdr:cNvGrpSpPr/>
          </xdr:nvGrpSpPr>
          <xdr:grpSpPr>
            <a:xfrm>
              <a:off x="930" y="2783"/>
              <a:ext cx="1074" cy="446"/>
              <a:chOff x="930" y="2783"/>
              <a:chExt cx="1074" cy="446"/>
            </a:xfrm>
          </xdr:grpSpPr>
          <xdr:grpSp>
            <xdr:nvGrpSpPr>
              <xdr:cNvPr id="153" name="组合 67"/>
              <xdr:cNvGrpSpPr/>
            </xdr:nvGrpSpPr>
            <xdr:grpSpPr>
              <a:xfrm>
                <a:off x="992" y="2783"/>
                <a:ext cx="953" cy="446"/>
                <a:chOff x="968" y="2783"/>
                <a:chExt cx="987" cy="446"/>
              </a:xfrm>
            </xdr:grpSpPr>
            <xdr:sp>
              <xdr:nvSpPr>
                <xdr:cNvPr id="156" name="任意多边形 155"/>
                <xdr:cNvSpPr/>
              </xdr:nvSpPr>
              <xdr:spPr>
                <a:xfrm>
                  <a:off x="1462" y="2783"/>
                  <a:ext cx="493" cy="446"/>
                </a:xfrm>
                <a:custGeom>
                  <a:avLst/>
                  <a:gdLst>
                    <a:gd name="txL" fmla="*/ 0 w 21574"/>
                    <a:gd name="txT" fmla="*/ 0 h 21600"/>
                    <a:gd name="txR" fmla="*/ 21574 w 21574"/>
                    <a:gd name="txB" fmla="*/ 21600 h 21600"/>
                  </a:gdLst>
                  <a:ahLst/>
                  <a:cxnLst>
                    <a:cxn ang="270">
                      <a:pos x="0" y="0"/>
                    </a:cxn>
                    <a:cxn ang="0">
                      <a:pos x="21573" y="20536"/>
                    </a:cxn>
                    <a:cxn ang="90">
                      <a:pos x="0" y="21600"/>
                    </a:cxn>
                  </a:cxnLst>
                  <a:rect l="txL" t="txT" r="txR" b="txB"/>
                  <a:pathLst>
                    <a:path w="21574" h="21600" fill="none">
                      <a:moveTo>
                        <a:pt x="0" y="0"/>
                      </a:moveTo>
                      <a:arcTo wR="21600" hR="21600" stAng="-5400000" swAng="5230584"/>
                    </a:path>
                    <a:path w="21574" h="21600" stroke="0">
                      <a:moveTo>
                        <a:pt x="0" y="0"/>
                      </a:moveTo>
                      <a:arcTo wR="21600" hR="21600" stAng="-5400000" swAng="5230584"/>
                      <a:lnTo>
                        <a:pt x="0" y="21600"/>
                      </a:lnTo>
                      <a:close/>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157" name="任意多边形 156"/>
                <xdr:cNvSpPr/>
              </xdr:nvSpPr>
              <xdr:spPr>
                <a:xfrm flipH="1">
                  <a:off x="968" y="2783"/>
                  <a:ext cx="493" cy="446"/>
                </a:xfrm>
                <a:custGeom>
                  <a:avLst/>
                  <a:gdLst>
                    <a:gd name="txL" fmla="*/ 0 w 21574"/>
                    <a:gd name="txT" fmla="*/ 0 h 21600"/>
                    <a:gd name="txR" fmla="*/ 21574 w 21574"/>
                    <a:gd name="txB" fmla="*/ 21600 h 21600"/>
                  </a:gdLst>
                  <a:ahLst/>
                  <a:cxnLst>
                    <a:cxn ang="270">
                      <a:pos x="0" y="0"/>
                    </a:cxn>
                    <a:cxn ang="0">
                      <a:pos x="21573" y="20536"/>
                    </a:cxn>
                    <a:cxn ang="90">
                      <a:pos x="0" y="21600"/>
                    </a:cxn>
                  </a:cxnLst>
                  <a:rect l="txL" t="txT" r="txR" b="txB"/>
                  <a:pathLst>
                    <a:path w="21574" h="21600" fill="none">
                      <a:moveTo>
                        <a:pt x="0" y="0"/>
                      </a:moveTo>
                      <a:arcTo wR="21600" hR="21600" stAng="-5400000" swAng="5230584"/>
                    </a:path>
                    <a:path w="21574" h="21600" stroke="0">
                      <a:moveTo>
                        <a:pt x="0" y="0"/>
                      </a:moveTo>
                      <a:arcTo wR="21600" hR="21600" stAng="-5400000" swAng="5230584"/>
                      <a:lnTo>
                        <a:pt x="0" y="21600"/>
                      </a:lnTo>
                      <a:close/>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sp>
            <xdr:nvSpPr>
              <xdr:cNvPr id="154" name="直接连接符 153"/>
              <xdr:cNvSpPr/>
            </xdr:nvSpPr>
            <xdr:spPr>
              <a:xfrm flipH="1">
                <a:off x="930" y="3200"/>
                <a:ext cx="70" cy="0"/>
              </a:xfrm>
              <a:prstGeom prst="line">
                <a:avLst/>
              </a:prstGeom>
              <a:ln w="28575" cap="flat" cmpd="sng">
                <a:solidFill>
                  <a:schemeClr val="tx2"/>
                </a:solidFill>
                <a:prstDash val="solid"/>
                <a:headEnd type="none" w="sm" len="lg"/>
                <a:tailEnd type="none" w="sm" len="lg"/>
              </a:ln>
            </xdr:spPr>
          </xdr:sp>
          <xdr:sp>
            <xdr:nvSpPr>
              <xdr:cNvPr id="155" name="直接连接符 154"/>
              <xdr:cNvSpPr/>
            </xdr:nvSpPr>
            <xdr:spPr>
              <a:xfrm flipH="1">
                <a:off x="1934" y="3204"/>
                <a:ext cx="70" cy="0"/>
              </a:xfrm>
              <a:prstGeom prst="line">
                <a:avLst/>
              </a:prstGeom>
              <a:ln w="28575" cap="flat" cmpd="sng">
                <a:solidFill>
                  <a:schemeClr val="tx2"/>
                </a:solidFill>
                <a:prstDash val="solid"/>
                <a:headEnd type="none" w="sm" len="lg"/>
                <a:tailEnd type="none" w="sm" len="lg"/>
              </a:ln>
            </xdr:spPr>
          </xdr:sp>
        </xdr:grpSp>
        <xdr:grpSp>
          <xdr:nvGrpSpPr>
            <xdr:cNvPr id="143" name="组合 57"/>
            <xdr:cNvGrpSpPr/>
          </xdr:nvGrpSpPr>
          <xdr:grpSpPr>
            <a:xfrm>
              <a:off x="930" y="3254"/>
              <a:ext cx="74" cy="516"/>
              <a:chOff x="930" y="3254"/>
              <a:chExt cx="74" cy="516"/>
            </a:xfrm>
          </xdr:grpSpPr>
          <xdr:sp>
            <xdr:nvSpPr>
              <xdr:cNvPr id="150" name="直接连接符 149"/>
              <xdr:cNvSpPr/>
            </xdr:nvSpPr>
            <xdr:spPr>
              <a:xfrm flipH="1">
                <a:off x="934" y="3254"/>
                <a:ext cx="70" cy="0"/>
              </a:xfrm>
              <a:prstGeom prst="line">
                <a:avLst/>
              </a:prstGeom>
              <a:ln w="28575" cap="flat" cmpd="sng">
                <a:solidFill>
                  <a:schemeClr val="tx2"/>
                </a:solidFill>
                <a:prstDash val="solid"/>
                <a:headEnd type="none" w="sm" len="lg"/>
                <a:tailEnd type="none" w="sm" len="lg"/>
              </a:ln>
            </xdr:spPr>
          </xdr:sp>
          <xdr:sp>
            <xdr:nvSpPr>
              <xdr:cNvPr id="151" name="直接连接符 150"/>
              <xdr:cNvSpPr/>
            </xdr:nvSpPr>
            <xdr:spPr>
              <a:xfrm>
                <a:off x="966" y="3256"/>
                <a:ext cx="0" cy="514"/>
              </a:xfrm>
              <a:prstGeom prst="line">
                <a:avLst/>
              </a:prstGeom>
              <a:ln w="28575" cap="flat" cmpd="sng">
                <a:solidFill>
                  <a:schemeClr val="tx2"/>
                </a:solidFill>
                <a:prstDash val="solid"/>
                <a:headEnd type="none" w="sm" len="lg"/>
                <a:tailEnd type="none" w="sm" len="lg"/>
              </a:ln>
            </xdr:spPr>
          </xdr:sp>
          <xdr:sp>
            <xdr:nvSpPr>
              <xdr:cNvPr id="152" name="直接连接符 151"/>
              <xdr:cNvSpPr/>
            </xdr:nvSpPr>
            <xdr:spPr>
              <a:xfrm>
                <a:off x="930" y="3764"/>
                <a:ext cx="68" cy="0"/>
              </a:xfrm>
              <a:prstGeom prst="line">
                <a:avLst/>
              </a:prstGeom>
              <a:ln w="28575" cap="flat" cmpd="sng">
                <a:solidFill>
                  <a:schemeClr val="tx2"/>
                </a:solidFill>
                <a:prstDash val="solid"/>
                <a:headEnd type="none" w="sm" len="lg"/>
                <a:tailEnd type="none" w="sm" len="lg"/>
              </a:ln>
            </xdr:spPr>
          </xdr:sp>
        </xdr:grpSp>
        <xdr:grpSp>
          <xdr:nvGrpSpPr>
            <xdr:cNvPr id="144" name="组合 58"/>
            <xdr:cNvGrpSpPr/>
          </xdr:nvGrpSpPr>
          <xdr:grpSpPr>
            <a:xfrm>
              <a:off x="1932" y="3258"/>
              <a:ext cx="74" cy="516"/>
              <a:chOff x="930" y="3254"/>
              <a:chExt cx="74" cy="516"/>
            </a:xfrm>
          </xdr:grpSpPr>
          <xdr:sp>
            <xdr:nvSpPr>
              <xdr:cNvPr id="147" name="直接连接符 146"/>
              <xdr:cNvSpPr/>
            </xdr:nvSpPr>
            <xdr:spPr>
              <a:xfrm flipH="1">
                <a:off x="934" y="3254"/>
                <a:ext cx="70" cy="0"/>
              </a:xfrm>
              <a:prstGeom prst="line">
                <a:avLst/>
              </a:prstGeom>
              <a:ln w="28575" cap="flat" cmpd="sng">
                <a:solidFill>
                  <a:schemeClr val="tx2"/>
                </a:solidFill>
                <a:prstDash val="solid"/>
                <a:headEnd type="none" w="sm" len="lg"/>
                <a:tailEnd type="none" w="sm" len="lg"/>
              </a:ln>
            </xdr:spPr>
          </xdr:sp>
          <xdr:sp>
            <xdr:nvSpPr>
              <xdr:cNvPr id="148" name="直接连接符 147"/>
              <xdr:cNvSpPr/>
            </xdr:nvSpPr>
            <xdr:spPr>
              <a:xfrm>
                <a:off x="966" y="3256"/>
                <a:ext cx="0" cy="514"/>
              </a:xfrm>
              <a:prstGeom prst="line">
                <a:avLst/>
              </a:prstGeom>
              <a:ln w="28575" cap="flat" cmpd="sng">
                <a:solidFill>
                  <a:schemeClr val="tx2"/>
                </a:solidFill>
                <a:prstDash val="solid"/>
                <a:headEnd type="none" w="sm" len="lg"/>
                <a:tailEnd type="none" w="sm" len="lg"/>
              </a:ln>
            </xdr:spPr>
          </xdr:sp>
          <xdr:sp>
            <xdr:nvSpPr>
              <xdr:cNvPr id="149" name="直接连接符 148"/>
              <xdr:cNvSpPr/>
            </xdr:nvSpPr>
            <xdr:spPr>
              <a:xfrm>
                <a:off x="930" y="3764"/>
                <a:ext cx="68" cy="0"/>
              </a:xfrm>
              <a:prstGeom prst="line">
                <a:avLst/>
              </a:prstGeom>
              <a:ln w="28575" cap="flat" cmpd="sng">
                <a:solidFill>
                  <a:schemeClr val="tx2"/>
                </a:solidFill>
                <a:prstDash val="solid"/>
                <a:headEnd type="none" w="sm" len="lg"/>
                <a:tailEnd type="none" w="sm" len="lg"/>
              </a:ln>
            </xdr:spPr>
          </xdr:sp>
        </xdr:grpSp>
        <xdr:sp>
          <xdr:nvSpPr>
            <xdr:cNvPr id="145" name="任意多边形 144"/>
            <xdr:cNvSpPr/>
          </xdr:nvSpPr>
          <xdr:spPr>
            <a:xfrm>
              <a:off x="906" y="3838"/>
              <a:ext cx="546" cy="432"/>
            </a:xfrm>
            <a:custGeom>
              <a:avLst/>
              <a:gdLst/>
              <a:ahLst/>
              <a:cxnLst/>
              <a:rect l="0" t="0" r="0" b="0"/>
              <a:pathLst>
                <a:path w="546" h="432">
                  <a:moveTo>
                    <a:pt x="26" y="0"/>
                  </a:moveTo>
                  <a:lnTo>
                    <a:pt x="88" y="0"/>
                  </a:lnTo>
                  <a:lnTo>
                    <a:pt x="56" y="0"/>
                  </a:lnTo>
                  <a:lnTo>
                    <a:pt x="56" y="350"/>
                  </a:lnTo>
                  <a:lnTo>
                    <a:pt x="50" y="386"/>
                  </a:lnTo>
                  <a:lnTo>
                    <a:pt x="36" y="404"/>
                  </a:lnTo>
                  <a:lnTo>
                    <a:pt x="0" y="432"/>
                  </a:lnTo>
                  <a:lnTo>
                    <a:pt x="26" y="412"/>
                  </a:lnTo>
                  <a:lnTo>
                    <a:pt x="46" y="392"/>
                  </a:lnTo>
                  <a:lnTo>
                    <a:pt x="56" y="362"/>
                  </a:lnTo>
                  <a:lnTo>
                    <a:pt x="546" y="362"/>
                  </a:lnTo>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146" name="任意多边形 145"/>
            <xdr:cNvSpPr/>
          </xdr:nvSpPr>
          <xdr:spPr>
            <a:xfrm flipH="1">
              <a:off x="1444" y="3838"/>
              <a:ext cx="590" cy="432"/>
            </a:xfrm>
            <a:custGeom>
              <a:avLst/>
              <a:gdLst/>
              <a:ahLst/>
              <a:cxnLst/>
              <a:rect l="0" t="0" r="0" b="0"/>
              <a:pathLst>
                <a:path w="546" h="432">
                  <a:moveTo>
                    <a:pt x="26" y="0"/>
                  </a:moveTo>
                  <a:lnTo>
                    <a:pt x="88" y="0"/>
                  </a:lnTo>
                  <a:lnTo>
                    <a:pt x="56" y="0"/>
                  </a:lnTo>
                  <a:lnTo>
                    <a:pt x="56" y="350"/>
                  </a:lnTo>
                  <a:lnTo>
                    <a:pt x="50" y="386"/>
                  </a:lnTo>
                  <a:lnTo>
                    <a:pt x="36" y="404"/>
                  </a:lnTo>
                  <a:lnTo>
                    <a:pt x="0" y="432"/>
                  </a:lnTo>
                  <a:lnTo>
                    <a:pt x="26" y="412"/>
                  </a:lnTo>
                  <a:lnTo>
                    <a:pt x="46" y="392"/>
                  </a:lnTo>
                  <a:lnTo>
                    <a:pt x="56" y="362"/>
                  </a:lnTo>
                  <a:lnTo>
                    <a:pt x="546" y="362"/>
                  </a:lnTo>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sp>
        <xdr:nvSpPr>
          <xdr:cNvPr id="136" name="直接连接符 135"/>
          <xdr:cNvSpPr/>
        </xdr:nvSpPr>
        <xdr:spPr>
          <a:xfrm>
            <a:off x="1020" y="3822"/>
            <a:ext cx="904" cy="0"/>
          </a:xfrm>
          <a:prstGeom prst="line">
            <a:avLst/>
          </a:prstGeom>
          <a:ln w="12700" cap="flat" cmpd="sng">
            <a:solidFill>
              <a:schemeClr val="tx2"/>
            </a:solidFill>
            <a:prstDash val="lgDash"/>
            <a:headEnd type="none" w="sm" len="lg"/>
            <a:tailEnd type="none" w="sm" len="lg"/>
          </a:ln>
        </xdr:spPr>
      </xdr:sp>
      <xdr:sp>
        <xdr:nvSpPr>
          <xdr:cNvPr id="137" name="直接连接符 136"/>
          <xdr:cNvSpPr/>
        </xdr:nvSpPr>
        <xdr:spPr>
          <a:xfrm>
            <a:off x="984" y="3870"/>
            <a:ext cx="904" cy="0"/>
          </a:xfrm>
          <a:prstGeom prst="line">
            <a:avLst/>
          </a:prstGeom>
          <a:ln w="12700" cap="flat" cmpd="sng">
            <a:solidFill>
              <a:schemeClr val="tx2"/>
            </a:solidFill>
            <a:prstDash val="lgDash"/>
            <a:headEnd type="none" w="sm" len="lg"/>
            <a:tailEnd type="none" w="sm" len="lg"/>
          </a:ln>
        </xdr:spPr>
      </xdr:sp>
      <xdr:sp>
        <xdr:nvSpPr>
          <xdr:cNvPr id="138" name="直接连接符 137"/>
          <xdr:cNvSpPr/>
        </xdr:nvSpPr>
        <xdr:spPr>
          <a:xfrm>
            <a:off x="1040" y="3914"/>
            <a:ext cx="904" cy="0"/>
          </a:xfrm>
          <a:prstGeom prst="line">
            <a:avLst/>
          </a:prstGeom>
          <a:ln w="12700" cap="flat" cmpd="sng">
            <a:solidFill>
              <a:schemeClr val="tx2"/>
            </a:solidFill>
            <a:prstDash val="lgDash"/>
            <a:headEnd type="none" w="sm" len="lg"/>
            <a:tailEnd type="none" w="sm" len="lg"/>
          </a:ln>
        </xdr:spPr>
      </xdr:sp>
      <xdr:sp>
        <xdr:nvSpPr>
          <xdr:cNvPr id="139" name="直接连接符 138"/>
          <xdr:cNvSpPr/>
        </xdr:nvSpPr>
        <xdr:spPr>
          <a:xfrm>
            <a:off x="986" y="3964"/>
            <a:ext cx="904" cy="0"/>
          </a:xfrm>
          <a:prstGeom prst="line">
            <a:avLst/>
          </a:prstGeom>
          <a:ln w="12700" cap="flat" cmpd="sng">
            <a:solidFill>
              <a:schemeClr val="tx2"/>
            </a:solidFill>
            <a:prstDash val="lgDash"/>
            <a:headEnd type="none" w="sm" len="lg"/>
            <a:tailEnd type="none" w="sm" len="lg"/>
          </a:ln>
        </xdr:spPr>
      </xdr:sp>
      <xdr:sp>
        <xdr:nvSpPr>
          <xdr:cNvPr id="140" name="直接连接符 139"/>
          <xdr:cNvSpPr/>
        </xdr:nvSpPr>
        <xdr:spPr>
          <a:xfrm>
            <a:off x="1036" y="4014"/>
            <a:ext cx="904" cy="0"/>
          </a:xfrm>
          <a:prstGeom prst="line">
            <a:avLst/>
          </a:prstGeom>
          <a:ln w="12700" cap="flat" cmpd="sng">
            <a:solidFill>
              <a:schemeClr val="tx2"/>
            </a:solidFill>
            <a:prstDash val="lgDash"/>
            <a:headEnd type="none" w="sm" len="lg"/>
            <a:tailEnd type="none" w="sm" len="lg"/>
          </a:ln>
        </xdr:spPr>
      </xdr:sp>
      <xdr:sp>
        <xdr:nvSpPr>
          <xdr:cNvPr id="141" name="直接连接符 140"/>
          <xdr:cNvSpPr/>
        </xdr:nvSpPr>
        <xdr:spPr>
          <a:xfrm>
            <a:off x="996" y="4070"/>
            <a:ext cx="904" cy="0"/>
          </a:xfrm>
          <a:prstGeom prst="line">
            <a:avLst/>
          </a:prstGeom>
          <a:ln w="12700" cap="flat" cmpd="sng">
            <a:solidFill>
              <a:schemeClr val="tx2"/>
            </a:solidFill>
            <a:prstDash val="lgDash"/>
            <a:headEnd type="none" w="sm" len="lg"/>
            <a:tailEnd type="none" w="sm" len="lg"/>
          </a:ln>
        </xdr:spPr>
      </xdr:sp>
    </xdr:grpSp>
    <xdr:clientData/>
  </xdr:twoCellAnchor>
  <xdr:twoCellAnchor>
    <xdr:from>
      <xdr:col>2</xdr:col>
      <xdr:colOff>1095375</xdr:colOff>
      <xdr:row>82</xdr:row>
      <xdr:rowOff>76200</xdr:rowOff>
    </xdr:from>
    <xdr:to>
      <xdr:col>3</xdr:col>
      <xdr:colOff>1019175</xdr:colOff>
      <xdr:row>88</xdr:row>
      <xdr:rowOff>161925</xdr:rowOff>
    </xdr:to>
    <xdr:grpSp>
      <xdr:nvGrpSpPr>
        <xdr:cNvPr id="165" name="组合 164"/>
        <xdr:cNvGrpSpPr/>
      </xdr:nvGrpSpPr>
      <xdr:grpSpPr>
        <a:xfrm>
          <a:off x="3495675" y="17938115"/>
          <a:ext cx="1114425" cy="1388745"/>
          <a:chOff x="3776" y="2566"/>
          <a:chExt cx="1245" cy="1620"/>
        </a:xfrm>
      </xdr:grpSpPr>
      <xdr:grpSp>
        <xdr:nvGrpSpPr>
          <xdr:cNvPr id="166" name="组合 165"/>
          <xdr:cNvGrpSpPr/>
        </xdr:nvGrpSpPr>
        <xdr:grpSpPr>
          <a:xfrm flipV="1">
            <a:off x="3776" y="2720"/>
            <a:ext cx="1245" cy="1189"/>
            <a:chOff x="848" y="2744"/>
            <a:chExt cx="1245" cy="1189"/>
          </a:xfrm>
        </xdr:grpSpPr>
        <xdr:sp>
          <xdr:nvSpPr>
            <xdr:cNvPr id="192" name="直接连接符 191"/>
            <xdr:cNvSpPr/>
          </xdr:nvSpPr>
          <xdr:spPr>
            <a:xfrm>
              <a:off x="848" y="3803"/>
              <a:ext cx="1245" cy="0"/>
            </a:xfrm>
            <a:prstGeom prst="line">
              <a:avLst/>
            </a:prstGeom>
            <a:ln w="38100" cap="flat" cmpd="sng">
              <a:solidFill>
                <a:schemeClr val="tx2"/>
              </a:solidFill>
              <a:prstDash val="solid"/>
              <a:headEnd type="none" w="med" len="med"/>
              <a:tailEnd type="none" w="med" len="med"/>
            </a:ln>
          </xdr:spPr>
        </xdr:sp>
        <xdr:sp>
          <xdr:nvSpPr>
            <xdr:cNvPr id="193" name="椭圆 192"/>
            <xdr:cNvSpPr/>
          </xdr:nvSpPr>
          <xdr:spPr>
            <a:xfrm>
              <a:off x="1062" y="2844"/>
              <a:ext cx="813" cy="797"/>
            </a:xfrm>
            <a:prstGeom prst="ellipse">
              <a:avLst/>
            </a:prstGeom>
            <a:noFill/>
            <a:ln w="28575" cap="flat" cmpd="sng">
              <a:solidFill>
                <a:schemeClr val="tx2"/>
              </a:solidFill>
              <a:prstDash val="solid"/>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194" name="直接连接符 193"/>
            <xdr:cNvSpPr/>
          </xdr:nvSpPr>
          <xdr:spPr>
            <a:xfrm>
              <a:off x="968" y="3233"/>
              <a:ext cx="1021" cy="0"/>
            </a:xfrm>
            <a:prstGeom prst="line">
              <a:avLst/>
            </a:prstGeom>
            <a:ln w="19050" cap="flat" cmpd="sng">
              <a:solidFill>
                <a:schemeClr val="tx2"/>
              </a:solidFill>
              <a:prstDash val="lgDashDot"/>
              <a:headEnd type="none" w="med" len="med"/>
              <a:tailEnd type="none" w="med" len="med"/>
            </a:ln>
          </xdr:spPr>
        </xdr:sp>
        <xdr:sp>
          <xdr:nvSpPr>
            <xdr:cNvPr id="195" name="直接连接符 194"/>
            <xdr:cNvSpPr/>
          </xdr:nvSpPr>
          <xdr:spPr>
            <a:xfrm>
              <a:off x="1465" y="2744"/>
              <a:ext cx="0" cy="971"/>
            </a:xfrm>
            <a:prstGeom prst="line">
              <a:avLst/>
            </a:prstGeom>
            <a:ln w="19050" cap="flat" cmpd="sng">
              <a:solidFill>
                <a:schemeClr val="tx2"/>
              </a:solidFill>
              <a:prstDash val="lgDashDot"/>
              <a:headEnd type="none" w="med" len="med"/>
              <a:tailEnd type="none" w="med" len="med"/>
            </a:ln>
          </xdr:spPr>
        </xdr:sp>
        <xdr:sp>
          <xdr:nvSpPr>
            <xdr:cNvPr id="196" name="矩形 195"/>
            <xdr:cNvSpPr/>
          </xdr:nvSpPr>
          <xdr:spPr>
            <a:xfrm>
              <a:off x="1073" y="3654"/>
              <a:ext cx="753" cy="279"/>
            </a:xfrm>
            <a:prstGeom prst="rect">
              <a:avLst/>
            </a:prstGeom>
            <a:noFill/>
            <a:ln w="28575" cap="flat" cmpd="sng">
              <a:solidFill>
                <a:schemeClr val="tx2"/>
              </a:solidFill>
              <a:prstDash val="solid"/>
              <a:miter/>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197" name="椭圆 196"/>
            <xdr:cNvSpPr/>
          </xdr:nvSpPr>
          <xdr:spPr>
            <a:xfrm>
              <a:off x="1427" y="3634"/>
              <a:ext cx="46" cy="43"/>
            </a:xfrm>
            <a:prstGeom prst="ellipse">
              <a:avLst/>
            </a:prstGeom>
            <a:solidFill>
              <a:srgbClr val="333399"/>
            </a:solidFill>
            <a:ln w="19050" cap="flat" cmpd="sng">
              <a:solidFill>
                <a:schemeClr val="tx2"/>
              </a:solidFill>
              <a:prstDash val="solid"/>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198" name="椭圆 197"/>
            <xdr:cNvSpPr/>
          </xdr:nvSpPr>
          <xdr:spPr>
            <a:xfrm>
              <a:off x="1439" y="3210"/>
              <a:ext cx="47" cy="43"/>
            </a:xfrm>
            <a:prstGeom prst="ellipse">
              <a:avLst/>
            </a:prstGeom>
            <a:solidFill>
              <a:srgbClr val="333399"/>
            </a:solidFill>
            <a:ln w="19050" cap="flat" cmpd="sng">
              <a:solidFill>
                <a:schemeClr val="tx2"/>
              </a:solidFill>
              <a:prstDash val="solid"/>
              <a:headEnd type="none" w="med" len="med"/>
              <a:tailEnd type="none" w="med" len="med"/>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grpSp>
        <xdr:nvGrpSpPr>
          <xdr:cNvPr id="167" name="组合 166"/>
          <xdr:cNvGrpSpPr/>
        </xdr:nvGrpSpPr>
        <xdr:grpSpPr>
          <a:xfrm>
            <a:off x="3912" y="3870"/>
            <a:ext cx="960" cy="200"/>
            <a:chOff x="3912" y="3870"/>
            <a:chExt cx="960" cy="200"/>
          </a:xfrm>
        </xdr:grpSpPr>
        <xdr:sp>
          <xdr:nvSpPr>
            <xdr:cNvPr id="187" name="直接连接符 186"/>
            <xdr:cNvSpPr/>
          </xdr:nvSpPr>
          <xdr:spPr>
            <a:xfrm>
              <a:off x="3912" y="3870"/>
              <a:ext cx="904" cy="0"/>
            </a:xfrm>
            <a:prstGeom prst="line">
              <a:avLst/>
            </a:prstGeom>
            <a:ln w="12700" cap="flat" cmpd="sng">
              <a:solidFill>
                <a:schemeClr val="tx2"/>
              </a:solidFill>
              <a:prstDash val="lgDash"/>
              <a:headEnd type="none" w="sm" len="lg"/>
              <a:tailEnd type="none" w="sm" len="lg"/>
            </a:ln>
          </xdr:spPr>
        </xdr:sp>
        <xdr:sp>
          <xdr:nvSpPr>
            <xdr:cNvPr id="188" name="直接连接符 187"/>
            <xdr:cNvSpPr/>
          </xdr:nvSpPr>
          <xdr:spPr>
            <a:xfrm>
              <a:off x="3968" y="3914"/>
              <a:ext cx="904" cy="0"/>
            </a:xfrm>
            <a:prstGeom prst="line">
              <a:avLst/>
            </a:prstGeom>
            <a:ln w="12700" cap="flat" cmpd="sng">
              <a:solidFill>
                <a:schemeClr val="tx2"/>
              </a:solidFill>
              <a:prstDash val="lgDash"/>
              <a:headEnd type="none" w="sm" len="lg"/>
              <a:tailEnd type="none" w="sm" len="lg"/>
            </a:ln>
          </xdr:spPr>
        </xdr:sp>
        <xdr:sp>
          <xdr:nvSpPr>
            <xdr:cNvPr id="189" name="直接连接符 188"/>
            <xdr:cNvSpPr/>
          </xdr:nvSpPr>
          <xdr:spPr>
            <a:xfrm>
              <a:off x="3914" y="3964"/>
              <a:ext cx="904" cy="0"/>
            </a:xfrm>
            <a:prstGeom prst="line">
              <a:avLst/>
            </a:prstGeom>
            <a:ln w="12700" cap="flat" cmpd="sng">
              <a:solidFill>
                <a:schemeClr val="tx2"/>
              </a:solidFill>
              <a:prstDash val="lgDash"/>
              <a:headEnd type="none" w="sm" len="lg"/>
              <a:tailEnd type="none" w="sm" len="lg"/>
            </a:ln>
          </xdr:spPr>
        </xdr:sp>
        <xdr:sp>
          <xdr:nvSpPr>
            <xdr:cNvPr id="190" name="直接连接符 189"/>
            <xdr:cNvSpPr/>
          </xdr:nvSpPr>
          <xdr:spPr>
            <a:xfrm>
              <a:off x="3964" y="4014"/>
              <a:ext cx="904" cy="0"/>
            </a:xfrm>
            <a:prstGeom prst="line">
              <a:avLst/>
            </a:prstGeom>
            <a:ln w="12700" cap="flat" cmpd="sng">
              <a:solidFill>
                <a:schemeClr val="tx2"/>
              </a:solidFill>
              <a:prstDash val="lgDash"/>
              <a:headEnd type="none" w="sm" len="lg"/>
              <a:tailEnd type="none" w="sm" len="lg"/>
            </a:ln>
          </xdr:spPr>
        </xdr:sp>
        <xdr:sp>
          <xdr:nvSpPr>
            <xdr:cNvPr id="191" name="直接连接符 190"/>
            <xdr:cNvSpPr/>
          </xdr:nvSpPr>
          <xdr:spPr>
            <a:xfrm>
              <a:off x="3924" y="4070"/>
              <a:ext cx="904" cy="0"/>
            </a:xfrm>
            <a:prstGeom prst="line">
              <a:avLst/>
            </a:prstGeom>
            <a:ln w="12700" cap="flat" cmpd="sng">
              <a:solidFill>
                <a:schemeClr val="tx2"/>
              </a:solidFill>
              <a:prstDash val="lgDash"/>
              <a:headEnd type="none" w="sm" len="lg"/>
              <a:tailEnd type="none" w="sm" len="lg"/>
            </a:ln>
          </xdr:spPr>
        </xdr:sp>
      </xdr:grpSp>
      <xdr:grpSp>
        <xdr:nvGrpSpPr>
          <xdr:cNvPr id="168" name="组合 167"/>
          <xdr:cNvGrpSpPr/>
        </xdr:nvGrpSpPr>
        <xdr:grpSpPr>
          <a:xfrm>
            <a:off x="3849" y="2566"/>
            <a:ext cx="546" cy="1620"/>
            <a:chOff x="3834" y="2566"/>
            <a:chExt cx="546" cy="1620"/>
          </a:xfrm>
        </xdr:grpSpPr>
        <xdr:grpSp>
          <xdr:nvGrpSpPr>
            <xdr:cNvPr id="179" name="组合 178"/>
            <xdr:cNvGrpSpPr/>
          </xdr:nvGrpSpPr>
          <xdr:grpSpPr>
            <a:xfrm>
              <a:off x="3858" y="2844"/>
              <a:ext cx="74" cy="516"/>
              <a:chOff x="930" y="3254"/>
              <a:chExt cx="74" cy="516"/>
            </a:xfrm>
          </xdr:grpSpPr>
          <xdr:sp>
            <xdr:nvSpPr>
              <xdr:cNvPr id="184" name="直接连接符 183"/>
              <xdr:cNvSpPr/>
            </xdr:nvSpPr>
            <xdr:spPr>
              <a:xfrm flipH="1">
                <a:off x="934" y="3254"/>
                <a:ext cx="70" cy="0"/>
              </a:xfrm>
              <a:prstGeom prst="line">
                <a:avLst/>
              </a:prstGeom>
              <a:ln w="28575" cap="flat" cmpd="sng">
                <a:solidFill>
                  <a:schemeClr val="tx2"/>
                </a:solidFill>
                <a:prstDash val="solid"/>
                <a:headEnd type="none" w="sm" len="lg"/>
                <a:tailEnd type="none" w="sm" len="lg"/>
              </a:ln>
            </xdr:spPr>
          </xdr:sp>
          <xdr:sp>
            <xdr:nvSpPr>
              <xdr:cNvPr id="185" name="直接连接符 184"/>
              <xdr:cNvSpPr/>
            </xdr:nvSpPr>
            <xdr:spPr>
              <a:xfrm>
                <a:off x="966" y="3256"/>
                <a:ext cx="0" cy="514"/>
              </a:xfrm>
              <a:prstGeom prst="line">
                <a:avLst/>
              </a:prstGeom>
              <a:ln w="28575" cap="flat" cmpd="sng">
                <a:solidFill>
                  <a:schemeClr val="tx2"/>
                </a:solidFill>
                <a:prstDash val="solid"/>
                <a:headEnd type="none" w="sm" len="lg"/>
                <a:tailEnd type="none" w="sm" len="lg"/>
              </a:ln>
            </xdr:spPr>
          </xdr:sp>
          <xdr:sp>
            <xdr:nvSpPr>
              <xdr:cNvPr id="186" name="直接连接符 185"/>
              <xdr:cNvSpPr/>
            </xdr:nvSpPr>
            <xdr:spPr>
              <a:xfrm>
                <a:off x="930" y="3764"/>
                <a:ext cx="68" cy="0"/>
              </a:xfrm>
              <a:prstGeom prst="line">
                <a:avLst/>
              </a:prstGeom>
              <a:ln w="28575" cap="flat" cmpd="sng">
                <a:solidFill>
                  <a:schemeClr val="tx2"/>
                </a:solidFill>
                <a:prstDash val="solid"/>
                <a:headEnd type="none" w="sm" len="lg"/>
                <a:tailEnd type="none" w="sm" len="lg"/>
              </a:ln>
            </xdr:spPr>
          </xdr:sp>
        </xdr:grpSp>
        <xdr:sp>
          <xdr:nvSpPr>
            <xdr:cNvPr id="180" name="任意多边形 179"/>
            <xdr:cNvSpPr/>
          </xdr:nvSpPr>
          <xdr:spPr>
            <a:xfrm>
              <a:off x="3834" y="3446"/>
              <a:ext cx="546" cy="740"/>
            </a:xfrm>
            <a:custGeom>
              <a:avLst/>
              <a:gdLst/>
              <a:ahLst/>
              <a:cxnLst/>
              <a:rect l="0" t="0" r="0" b="0"/>
              <a:pathLst>
                <a:path w="546" h="740">
                  <a:moveTo>
                    <a:pt x="14" y="0"/>
                  </a:moveTo>
                  <a:lnTo>
                    <a:pt x="98" y="0"/>
                  </a:lnTo>
                  <a:lnTo>
                    <a:pt x="56" y="0"/>
                  </a:lnTo>
                  <a:lnTo>
                    <a:pt x="56" y="658"/>
                  </a:lnTo>
                  <a:lnTo>
                    <a:pt x="50" y="694"/>
                  </a:lnTo>
                  <a:lnTo>
                    <a:pt x="36" y="712"/>
                  </a:lnTo>
                  <a:lnTo>
                    <a:pt x="0" y="740"/>
                  </a:lnTo>
                  <a:lnTo>
                    <a:pt x="26" y="720"/>
                  </a:lnTo>
                  <a:lnTo>
                    <a:pt x="46" y="700"/>
                  </a:lnTo>
                  <a:lnTo>
                    <a:pt x="56" y="670"/>
                  </a:lnTo>
                  <a:lnTo>
                    <a:pt x="546" y="670"/>
                  </a:lnTo>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nvGrpSpPr>
            <xdr:cNvPr id="181" name="组合 180"/>
            <xdr:cNvGrpSpPr/>
          </xdr:nvGrpSpPr>
          <xdr:grpSpPr>
            <a:xfrm>
              <a:off x="3858" y="2566"/>
              <a:ext cx="508" cy="246"/>
              <a:chOff x="3858" y="2566"/>
              <a:chExt cx="508" cy="246"/>
            </a:xfrm>
          </xdr:grpSpPr>
          <xdr:sp>
            <xdr:nvSpPr>
              <xdr:cNvPr id="182" name="直接连接符 181"/>
              <xdr:cNvSpPr/>
            </xdr:nvSpPr>
            <xdr:spPr>
              <a:xfrm flipH="1">
                <a:off x="3858" y="2810"/>
                <a:ext cx="70" cy="0"/>
              </a:xfrm>
              <a:prstGeom prst="line">
                <a:avLst/>
              </a:prstGeom>
              <a:ln w="28575" cap="flat" cmpd="sng">
                <a:solidFill>
                  <a:schemeClr val="tx2"/>
                </a:solidFill>
                <a:prstDash val="solid"/>
                <a:headEnd type="none" w="sm" len="lg"/>
                <a:tailEnd type="none" w="sm" len="lg"/>
              </a:ln>
            </xdr:spPr>
          </xdr:sp>
          <xdr:sp>
            <xdr:nvSpPr>
              <xdr:cNvPr id="183" name="任意多边形 182"/>
              <xdr:cNvSpPr/>
            </xdr:nvSpPr>
            <xdr:spPr>
              <a:xfrm>
                <a:off x="3893" y="2566"/>
                <a:ext cx="473" cy="246"/>
              </a:xfrm>
              <a:custGeom>
                <a:avLst/>
                <a:gdLst/>
                <a:ahLst/>
                <a:cxnLst/>
                <a:rect l="0" t="0" r="0" b="0"/>
                <a:pathLst>
                  <a:path w="473" h="246">
                    <a:moveTo>
                      <a:pt x="0" y="246"/>
                    </a:moveTo>
                    <a:lnTo>
                      <a:pt x="1" y="76"/>
                    </a:lnTo>
                    <a:lnTo>
                      <a:pt x="13" y="56"/>
                    </a:lnTo>
                    <a:lnTo>
                      <a:pt x="37" y="38"/>
                    </a:lnTo>
                    <a:lnTo>
                      <a:pt x="473" y="38"/>
                    </a:lnTo>
                    <a:lnTo>
                      <a:pt x="473" y="0"/>
                    </a:lnTo>
                    <a:lnTo>
                      <a:pt x="473" y="76"/>
                    </a:lnTo>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grpSp>
      <xdr:grpSp>
        <xdr:nvGrpSpPr>
          <xdr:cNvPr id="169" name="组合 168"/>
          <xdr:cNvGrpSpPr/>
        </xdr:nvGrpSpPr>
        <xdr:grpSpPr>
          <a:xfrm flipH="1">
            <a:off x="4395" y="2566"/>
            <a:ext cx="546" cy="1620"/>
            <a:chOff x="3834" y="2566"/>
            <a:chExt cx="546" cy="1620"/>
          </a:xfrm>
        </xdr:grpSpPr>
        <xdr:grpSp>
          <xdr:nvGrpSpPr>
            <xdr:cNvPr id="171" name="组合 170"/>
            <xdr:cNvGrpSpPr/>
          </xdr:nvGrpSpPr>
          <xdr:grpSpPr>
            <a:xfrm>
              <a:off x="3858" y="2844"/>
              <a:ext cx="74" cy="516"/>
              <a:chOff x="930" y="3254"/>
              <a:chExt cx="74" cy="516"/>
            </a:xfrm>
          </xdr:grpSpPr>
          <xdr:sp>
            <xdr:nvSpPr>
              <xdr:cNvPr id="176" name="直接连接符 175"/>
              <xdr:cNvSpPr/>
            </xdr:nvSpPr>
            <xdr:spPr>
              <a:xfrm flipH="1">
                <a:off x="934" y="3254"/>
                <a:ext cx="70" cy="0"/>
              </a:xfrm>
              <a:prstGeom prst="line">
                <a:avLst/>
              </a:prstGeom>
              <a:ln w="28575" cap="flat" cmpd="sng">
                <a:solidFill>
                  <a:schemeClr val="tx2"/>
                </a:solidFill>
                <a:prstDash val="solid"/>
                <a:headEnd type="none" w="sm" len="lg"/>
                <a:tailEnd type="none" w="sm" len="lg"/>
              </a:ln>
            </xdr:spPr>
          </xdr:sp>
          <xdr:sp>
            <xdr:nvSpPr>
              <xdr:cNvPr id="177" name="直接连接符 176"/>
              <xdr:cNvSpPr/>
            </xdr:nvSpPr>
            <xdr:spPr>
              <a:xfrm>
                <a:off x="966" y="3256"/>
                <a:ext cx="0" cy="514"/>
              </a:xfrm>
              <a:prstGeom prst="line">
                <a:avLst/>
              </a:prstGeom>
              <a:ln w="28575" cap="flat" cmpd="sng">
                <a:solidFill>
                  <a:schemeClr val="tx2"/>
                </a:solidFill>
                <a:prstDash val="solid"/>
                <a:headEnd type="none" w="sm" len="lg"/>
                <a:tailEnd type="none" w="sm" len="lg"/>
              </a:ln>
            </xdr:spPr>
          </xdr:sp>
          <xdr:sp>
            <xdr:nvSpPr>
              <xdr:cNvPr id="178" name="直接连接符 177"/>
              <xdr:cNvSpPr/>
            </xdr:nvSpPr>
            <xdr:spPr>
              <a:xfrm>
                <a:off x="930" y="3764"/>
                <a:ext cx="68" cy="0"/>
              </a:xfrm>
              <a:prstGeom prst="line">
                <a:avLst/>
              </a:prstGeom>
              <a:ln w="28575" cap="flat" cmpd="sng">
                <a:solidFill>
                  <a:schemeClr val="tx2"/>
                </a:solidFill>
                <a:prstDash val="solid"/>
                <a:headEnd type="none" w="sm" len="lg"/>
                <a:tailEnd type="none" w="sm" len="lg"/>
              </a:ln>
            </xdr:spPr>
          </xdr:sp>
        </xdr:grpSp>
        <xdr:sp>
          <xdr:nvSpPr>
            <xdr:cNvPr id="172" name="任意多边形 171"/>
            <xdr:cNvSpPr/>
          </xdr:nvSpPr>
          <xdr:spPr>
            <a:xfrm>
              <a:off x="3834" y="3446"/>
              <a:ext cx="546" cy="740"/>
            </a:xfrm>
            <a:custGeom>
              <a:avLst/>
              <a:gdLst/>
              <a:ahLst/>
              <a:cxnLst/>
              <a:rect l="0" t="0" r="0" b="0"/>
              <a:pathLst>
                <a:path w="546" h="740">
                  <a:moveTo>
                    <a:pt x="14" y="0"/>
                  </a:moveTo>
                  <a:lnTo>
                    <a:pt x="98" y="0"/>
                  </a:lnTo>
                  <a:lnTo>
                    <a:pt x="56" y="0"/>
                  </a:lnTo>
                  <a:lnTo>
                    <a:pt x="56" y="658"/>
                  </a:lnTo>
                  <a:lnTo>
                    <a:pt x="50" y="694"/>
                  </a:lnTo>
                  <a:lnTo>
                    <a:pt x="36" y="712"/>
                  </a:lnTo>
                  <a:lnTo>
                    <a:pt x="0" y="740"/>
                  </a:lnTo>
                  <a:lnTo>
                    <a:pt x="26" y="720"/>
                  </a:lnTo>
                  <a:lnTo>
                    <a:pt x="46" y="700"/>
                  </a:lnTo>
                  <a:lnTo>
                    <a:pt x="56" y="670"/>
                  </a:lnTo>
                  <a:lnTo>
                    <a:pt x="546" y="670"/>
                  </a:lnTo>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nvGrpSpPr>
            <xdr:cNvPr id="173" name="组合 172"/>
            <xdr:cNvGrpSpPr/>
          </xdr:nvGrpSpPr>
          <xdr:grpSpPr>
            <a:xfrm>
              <a:off x="3858" y="2566"/>
              <a:ext cx="508" cy="246"/>
              <a:chOff x="3858" y="2566"/>
              <a:chExt cx="508" cy="246"/>
            </a:xfrm>
          </xdr:grpSpPr>
          <xdr:sp>
            <xdr:nvSpPr>
              <xdr:cNvPr id="174" name="直接连接符 173"/>
              <xdr:cNvSpPr/>
            </xdr:nvSpPr>
            <xdr:spPr>
              <a:xfrm flipH="1">
                <a:off x="3858" y="2810"/>
                <a:ext cx="70" cy="0"/>
              </a:xfrm>
              <a:prstGeom prst="line">
                <a:avLst/>
              </a:prstGeom>
              <a:ln w="28575" cap="flat" cmpd="sng">
                <a:solidFill>
                  <a:schemeClr val="tx2"/>
                </a:solidFill>
                <a:prstDash val="solid"/>
                <a:headEnd type="none" w="sm" len="lg"/>
                <a:tailEnd type="none" w="sm" len="lg"/>
              </a:ln>
            </xdr:spPr>
          </xdr:sp>
          <xdr:sp>
            <xdr:nvSpPr>
              <xdr:cNvPr id="175" name="任意多边形 174"/>
              <xdr:cNvSpPr/>
            </xdr:nvSpPr>
            <xdr:spPr>
              <a:xfrm>
                <a:off x="3893" y="2566"/>
                <a:ext cx="473" cy="246"/>
              </a:xfrm>
              <a:custGeom>
                <a:avLst/>
                <a:gdLst/>
                <a:ahLst/>
                <a:cxnLst/>
                <a:rect l="0" t="0" r="0" b="0"/>
                <a:pathLst>
                  <a:path w="473" h="246">
                    <a:moveTo>
                      <a:pt x="0" y="246"/>
                    </a:moveTo>
                    <a:lnTo>
                      <a:pt x="1" y="76"/>
                    </a:lnTo>
                    <a:lnTo>
                      <a:pt x="13" y="56"/>
                    </a:lnTo>
                    <a:lnTo>
                      <a:pt x="37" y="38"/>
                    </a:lnTo>
                    <a:lnTo>
                      <a:pt x="473" y="38"/>
                    </a:lnTo>
                    <a:lnTo>
                      <a:pt x="473" y="0"/>
                    </a:lnTo>
                    <a:lnTo>
                      <a:pt x="473" y="76"/>
                    </a:lnTo>
                  </a:path>
                </a:pathLst>
              </a:custGeom>
              <a:noFill/>
              <a:ln w="28575" cap="flat" cmpd="sng">
                <a:solidFill>
                  <a:schemeClr val="tx2"/>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grpSp>
      <xdr:sp>
        <xdr:nvSpPr>
          <xdr:cNvPr id="170" name="矩形 169"/>
          <xdr:cNvSpPr/>
        </xdr:nvSpPr>
        <xdr:spPr>
          <a:xfrm>
            <a:off x="4887" y="4005"/>
            <a:ext cx="87" cy="56"/>
          </a:xfrm>
          <a:prstGeom prst="rect">
            <a:avLst/>
          </a:prstGeom>
          <a:noFill/>
          <a:ln w="28575" cap="flat" cmpd="sng">
            <a:solidFill>
              <a:schemeClr val="tx2"/>
            </a:solidFill>
            <a:prstDash val="solid"/>
            <a:miter/>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clientData/>
  </xdr:twoCellAnchor>
  <xdr:twoCellAnchor>
    <xdr:from>
      <xdr:col>3</xdr:col>
      <xdr:colOff>361957</xdr:colOff>
      <xdr:row>81</xdr:row>
      <xdr:rowOff>95251</xdr:rowOff>
    </xdr:from>
    <xdr:to>
      <xdr:col>4</xdr:col>
      <xdr:colOff>447675</xdr:colOff>
      <xdr:row>89</xdr:row>
      <xdr:rowOff>9525</xdr:rowOff>
    </xdr:to>
    <xdr:grpSp>
      <xdr:nvGrpSpPr>
        <xdr:cNvPr id="199" name="组合 198"/>
        <xdr:cNvGrpSpPr/>
      </xdr:nvGrpSpPr>
      <xdr:grpSpPr>
        <a:xfrm>
          <a:off x="3952875" y="17739995"/>
          <a:ext cx="1276350" cy="1651635"/>
          <a:chOff x="4164" y="2416"/>
          <a:chExt cx="1372" cy="1784"/>
        </a:xfrm>
      </xdr:grpSpPr>
      <xdr:grpSp>
        <xdr:nvGrpSpPr>
          <xdr:cNvPr id="200" name="组合 199"/>
          <xdr:cNvGrpSpPr/>
        </xdr:nvGrpSpPr>
        <xdr:grpSpPr>
          <a:xfrm>
            <a:off x="4164" y="2416"/>
            <a:ext cx="1372" cy="1784"/>
            <a:chOff x="4296" y="2452"/>
            <a:chExt cx="1372" cy="1784"/>
          </a:xfrm>
        </xdr:grpSpPr>
        <xdr:sp>
          <xdr:nvSpPr>
            <xdr:cNvPr id="203" name="椭圆 202"/>
            <xdr:cNvSpPr/>
          </xdr:nvSpPr>
          <xdr:spPr>
            <a:xfrm>
              <a:off x="5139" y="3876"/>
              <a:ext cx="285" cy="291"/>
            </a:xfrm>
            <a:prstGeom prst="ellipse">
              <a:avLst/>
            </a:prstGeom>
            <a:noFill/>
            <a:ln w="28575" cap="flat" cmpd="sng">
              <a:solidFill>
                <a:srgbClr val="FF0000"/>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204" name="直接连接符 203"/>
            <xdr:cNvSpPr/>
          </xdr:nvSpPr>
          <xdr:spPr>
            <a:xfrm>
              <a:off x="4899" y="4032"/>
              <a:ext cx="243" cy="0"/>
            </a:xfrm>
            <a:prstGeom prst="line">
              <a:avLst/>
            </a:prstGeom>
            <a:ln w="28575" cap="flat" cmpd="sng">
              <a:solidFill>
                <a:srgbClr val="FF0000"/>
              </a:solidFill>
              <a:prstDash val="solid"/>
              <a:headEnd type="none" w="sm" len="lg"/>
              <a:tailEnd type="triangle" w="sm" len="lg"/>
            </a:ln>
          </xdr:spPr>
        </xdr:sp>
        <xdr:sp>
          <xdr:nvSpPr>
            <xdr:cNvPr id="205" name="等腰三角形 204"/>
            <xdr:cNvSpPr/>
          </xdr:nvSpPr>
          <xdr:spPr>
            <a:xfrm rot="5334616">
              <a:off x="5301" y="3972"/>
              <a:ext cx="108" cy="102"/>
            </a:xfrm>
            <a:prstGeom prst="triangle">
              <a:avLst>
                <a:gd name="adj" fmla="val 50000"/>
              </a:avLst>
            </a:prstGeom>
            <a:solidFill>
              <a:schemeClr val="accent2"/>
            </a:solidFill>
            <a:ln w="28575" cap="flat" cmpd="sng">
              <a:solidFill>
                <a:srgbClr val="FF0000"/>
              </a:solidFill>
              <a:prstDash val="solid"/>
              <a:miter/>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206" name="直接连接符 205"/>
            <xdr:cNvSpPr/>
          </xdr:nvSpPr>
          <xdr:spPr>
            <a:xfrm>
              <a:off x="5133" y="4026"/>
              <a:ext cx="276" cy="0"/>
            </a:xfrm>
            <a:prstGeom prst="line">
              <a:avLst/>
            </a:prstGeom>
            <a:ln w="19050" cap="flat" cmpd="sng">
              <a:solidFill>
                <a:srgbClr val="FF0000"/>
              </a:solidFill>
              <a:prstDash val="solid"/>
              <a:headEnd type="none" w="sm" len="lg"/>
              <a:tailEnd type="none" w="sm" len="lg"/>
            </a:ln>
          </xdr:spPr>
        </xdr:sp>
        <xdr:grpSp>
          <xdr:nvGrpSpPr>
            <xdr:cNvPr id="207" name="组合 206"/>
            <xdr:cNvGrpSpPr/>
          </xdr:nvGrpSpPr>
          <xdr:grpSpPr>
            <a:xfrm>
              <a:off x="5443" y="3612"/>
              <a:ext cx="188" cy="408"/>
              <a:chOff x="5418" y="3612"/>
              <a:chExt cx="219" cy="408"/>
            </a:xfrm>
          </xdr:grpSpPr>
          <xdr:grpSp>
            <xdr:nvGrpSpPr>
              <xdr:cNvPr id="215" name="组合 214"/>
              <xdr:cNvGrpSpPr/>
            </xdr:nvGrpSpPr>
            <xdr:grpSpPr>
              <a:xfrm>
                <a:off x="5463" y="3612"/>
                <a:ext cx="174" cy="126"/>
                <a:chOff x="5205" y="3513"/>
                <a:chExt cx="174" cy="126"/>
              </a:xfrm>
            </xdr:grpSpPr>
            <xdr:sp>
              <xdr:nvSpPr>
                <xdr:cNvPr id="217" name="矩形 216"/>
                <xdr:cNvSpPr/>
              </xdr:nvSpPr>
              <xdr:spPr>
                <a:xfrm rot="-2506281">
                  <a:off x="5226" y="3513"/>
                  <a:ext cx="138" cy="126"/>
                </a:xfrm>
                <a:prstGeom prst="rect">
                  <a:avLst/>
                </a:prstGeom>
                <a:noFill/>
                <a:ln w="28575" cap="flat" cmpd="sng">
                  <a:solidFill>
                    <a:srgbClr val="FF0000"/>
                  </a:solidFill>
                  <a:prstDash val="solid"/>
                  <a:miter/>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218" name="直接连接符 217"/>
                <xdr:cNvSpPr/>
              </xdr:nvSpPr>
              <xdr:spPr>
                <a:xfrm>
                  <a:off x="5205" y="3576"/>
                  <a:ext cx="174" cy="0"/>
                </a:xfrm>
                <a:prstGeom prst="line">
                  <a:avLst/>
                </a:prstGeom>
                <a:ln w="19050" cap="flat" cmpd="sng">
                  <a:solidFill>
                    <a:srgbClr val="FF0000"/>
                  </a:solidFill>
                  <a:prstDash val="dash"/>
                  <a:headEnd type="none" w="sm" len="lg"/>
                  <a:tailEnd type="none" w="sm" len="lg"/>
                </a:ln>
              </xdr:spPr>
            </xdr:sp>
          </xdr:grpSp>
          <xdr:sp>
            <xdr:nvSpPr>
              <xdr:cNvPr id="216" name="任意多边形 215"/>
              <xdr:cNvSpPr/>
            </xdr:nvSpPr>
            <xdr:spPr>
              <a:xfrm>
                <a:off x="5418" y="3756"/>
                <a:ext cx="135" cy="264"/>
              </a:xfrm>
              <a:custGeom>
                <a:avLst/>
                <a:gdLst/>
                <a:ahLst/>
                <a:cxnLst/>
                <a:rect l="0" t="0" r="0" b="0"/>
                <a:pathLst>
                  <a:path w="135" h="264">
                    <a:moveTo>
                      <a:pt x="0" y="264"/>
                    </a:moveTo>
                    <a:lnTo>
                      <a:pt x="135" y="264"/>
                    </a:lnTo>
                    <a:lnTo>
                      <a:pt x="135" y="0"/>
                    </a:lnTo>
                  </a:path>
                </a:pathLst>
              </a:custGeom>
              <a:noFill/>
              <a:ln w="28575" cap="flat" cmpd="sng">
                <a:solidFill>
                  <a:srgbClr val="FF0000"/>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sp>
          <xdr:nvSpPr>
            <xdr:cNvPr id="208" name="直接连接符 207"/>
            <xdr:cNvSpPr/>
          </xdr:nvSpPr>
          <xdr:spPr>
            <a:xfrm>
              <a:off x="5277" y="3816"/>
              <a:ext cx="0" cy="420"/>
            </a:xfrm>
            <a:prstGeom prst="line">
              <a:avLst/>
            </a:prstGeom>
            <a:ln w="12700" cap="flat" cmpd="sng">
              <a:solidFill>
                <a:srgbClr val="FF0000"/>
              </a:solidFill>
              <a:prstDash val="lgDashDot"/>
              <a:headEnd type="none" w="sm" len="lg"/>
              <a:tailEnd type="none" w="sm" len="lg"/>
            </a:ln>
          </xdr:spPr>
        </xdr:sp>
        <xdr:sp>
          <xdr:nvSpPr>
            <xdr:cNvPr id="209" name="矩形 208"/>
            <xdr:cNvSpPr/>
          </xdr:nvSpPr>
          <xdr:spPr>
            <a:xfrm>
              <a:off x="5404" y="2792"/>
              <a:ext cx="264" cy="476"/>
            </a:xfrm>
            <a:prstGeom prst="rect">
              <a:avLst/>
            </a:prstGeom>
            <a:noFill/>
            <a:ln w="28575" cap="flat" cmpd="sng">
              <a:solidFill>
                <a:srgbClr val="FF0000"/>
              </a:solidFill>
              <a:prstDash val="solid"/>
              <a:miter/>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sp>
          <xdr:nvSpPr>
            <xdr:cNvPr id="210" name="任意多边形 209"/>
            <xdr:cNvSpPr/>
          </xdr:nvSpPr>
          <xdr:spPr>
            <a:xfrm>
              <a:off x="4396" y="2452"/>
              <a:ext cx="1208" cy="1132"/>
            </a:xfrm>
            <a:custGeom>
              <a:avLst/>
              <a:gdLst/>
              <a:ahLst/>
              <a:cxnLst/>
              <a:rect l="0" t="0" r="0" b="0"/>
              <a:pathLst>
                <a:path w="1208" h="1132">
                  <a:moveTo>
                    <a:pt x="1144" y="1132"/>
                  </a:moveTo>
                  <a:lnTo>
                    <a:pt x="1144" y="768"/>
                  </a:lnTo>
                  <a:lnTo>
                    <a:pt x="1060" y="704"/>
                  </a:lnTo>
                  <a:lnTo>
                    <a:pt x="1208" y="636"/>
                  </a:lnTo>
                  <a:lnTo>
                    <a:pt x="1068" y="548"/>
                  </a:lnTo>
                  <a:lnTo>
                    <a:pt x="1208" y="492"/>
                  </a:lnTo>
                  <a:lnTo>
                    <a:pt x="1072" y="408"/>
                  </a:lnTo>
                  <a:lnTo>
                    <a:pt x="1148" y="360"/>
                  </a:lnTo>
                  <a:lnTo>
                    <a:pt x="1148" y="68"/>
                  </a:lnTo>
                  <a:lnTo>
                    <a:pt x="1132" y="32"/>
                  </a:lnTo>
                  <a:lnTo>
                    <a:pt x="1092" y="0"/>
                  </a:lnTo>
                  <a:lnTo>
                    <a:pt x="0" y="0"/>
                  </a:lnTo>
                  <a:lnTo>
                    <a:pt x="0" y="228"/>
                  </a:lnTo>
                </a:path>
              </a:pathLst>
            </a:custGeom>
            <a:noFill/>
            <a:ln w="28575" cap="flat" cmpd="sng">
              <a:solidFill>
                <a:srgbClr val="FF0000"/>
              </a:solidFill>
              <a:prstDash val="solid"/>
              <a:headEnd type="none" w="sm" len="lg"/>
              <a:tailEnd type="none" w="sm" len="lg"/>
            </a:ln>
          </xdr:spPr>
          <xdr:txBody>
            <a:bodyPr wrap="square"/>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endParaRPr lang="zh-CN" altLang="en-US"/>
            </a:p>
          </xdr:txBody>
        </xdr:sp>
        <xdr:grpSp>
          <xdr:nvGrpSpPr>
            <xdr:cNvPr id="211" name="组合 210"/>
            <xdr:cNvGrpSpPr/>
          </xdr:nvGrpSpPr>
          <xdr:grpSpPr>
            <a:xfrm>
              <a:off x="4296" y="2676"/>
              <a:ext cx="208" cy="212"/>
              <a:chOff x="4296" y="2676"/>
              <a:chExt cx="208" cy="212"/>
            </a:xfrm>
          </xdr:grpSpPr>
          <xdr:sp>
            <xdr:nvSpPr>
              <xdr:cNvPr id="212" name="直接连接符 211"/>
              <xdr:cNvSpPr/>
            </xdr:nvSpPr>
            <xdr:spPr>
              <a:xfrm>
                <a:off x="4396" y="2688"/>
                <a:ext cx="0" cy="200"/>
              </a:xfrm>
              <a:prstGeom prst="line">
                <a:avLst/>
              </a:prstGeom>
              <a:ln w="19050" cap="flat" cmpd="sng">
                <a:solidFill>
                  <a:srgbClr val="66FF33"/>
                </a:solidFill>
                <a:prstDash val="solid"/>
                <a:headEnd type="none" w="sm" len="lg"/>
                <a:tailEnd type="triangle" w="sm" len="lg"/>
              </a:ln>
            </xdr:spPr>
          </xdr:sp>
          <xdr:sp>
            <xdr:nvSpPr>
              <xdr:cNvPr id="213" name="直接连接符 212"/>
              <xdr:cNvSpPr/>
            </xdr:nvSpPr>
            <xdr:spPr>
              <a:xfrm flipH="1">
                <a:off x="4296" y="2676"/>
                <a:ext cx="76" cy="205"/>
              </a:xfrm>
              <a:prstGeom prst="line">
                <a:avLst/>
              </a:prstGeom>
              <a:ln w="28575" cap="flat" cmpd="sng">
                <a:solidFill>
                  <a:srgbClr val="66FF33"/>
                </a:solidFill>
                <a:prstDash val="solid"/>
                <a:headEnd type="none" w="sm" len="lg"/>
                <a:tailEnd type="triangle" w="sm" len="lg"/>
              </a:ln>
            </xdr:spPr>
          </xdr:sp>
          <xdr:sp>
            <xdr:nvSpPr>
              <xdr:cNvPr id="214" name="直接连接符 213"/>
              <xdr:cNvSpPr/>
            </xdr:nvSpPr>
            <xdr:spPr>
              <a:xfrm>
                <a:off x="4416" y="2692"/>
                <a:ext cx="88" cy="192"/>
              </a:xfrm>
              <a:prstGeom prst="line">
                <a:avLst/>
              </a:prstGeom>
              <a:ln w="28575" cap="flat" cmpd="sng">
                <a:solidFill>
                  <a:srgbClr val="66FF33"/>
                </a:solidFill>
                <a:prstDash val="solid"/>
                <a:headEnd type="none" w="sm" len="lg"/>
                <a:tailEnd type="triangle" w="sm" len="lg"/>
              </a:ln>
            </xdr:spPr>
          </xdr:sp>
        </xdr:grpSp>
      </xdr:grpSp>
      <xdr:sp>
        <xdr:nvSpPr>
          <xdr:cNvPr id="201" name="矩形 200"/>
          <xdr:cNvSpPr/>
        </xdr:nvSpPr>
        <xdr:spPr>
          <a:xfrm>
            <a:off x="4754" y="3449"/>
            <a:ext cx="405" cy="710"/>
          </a:xfrm>
          <a:prstGeom prst="rect">
            <a:avLst/>
          </a:prstGeom>
          <a:noFill/>
          <a:ln w="28575">
            <a:noFill/>
          </a:ln>
        </xdr:spPr>
        <xdr:txBody>
          <a:bodyPr wrap="square" anchor="t">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zh-CN" altLang="en-US" sz="1200" b="1">
                <a:solidFill>
                  <a:schemeClr val="tx2"/>
                </a:solidFill>
                <a:latin typeface="华文中宋" panose="02010600040101010101" pitchFamily="2" charset="-122"/>
                <a:ea typeface="华文中宋" panose="02010600040101010101" pitchFamily="2" charset="-122"/>
              </a:rPr>
              <a:t>油泵</a:t>
            </a:r>
            <a:endParaRPr lang="zh-CN" altLang="en-US" sz="1200" b="1">
              <a:solidFill>
                <a:schemeClr val="tx2"/>
              </a:solidFill>
              <a:latin typeface="华文中宋" panose="02010600040101010101" pitchFamily="2" charset="-122"/>
              <a:ea typeface="华文中宋" panose="02010600040101010101" pitchFamily="2" charset="-122"/>
            </a:endParaRPr>
          </a:p>
        </xdr:txBody>
      </xdr:sp>
      <xdr:sp>
        <xdr:nvSpPr>
          <xdr:cNvPr id="202" name="矩形 201"/>
          <xdr:cNvSpPr/>
        </xdr:nvSpPr>
        <xdr:spPr>
          <a:xfrm>
            <a:off x="4958" y="2544"/>
            <a:ext cx="368" cy="998"/>
          </a:xfrm>
          <a:prstGeom prst="rect">
            <a:avLst/>
          </a:prstGeom>
          <a:noFill/>
          <a:ln w="28575">
            <a:noFill/>
          </a:ln>
        </xdr:spPr>
        <xdr:txBody>
          <a:bodyPr wrap="square">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zh-CN" altLang="en-US" sz="1200" b="1">
                <a:solidFill>
                  <a:schemeClr val="tx2"/>
                </a:solidFill>
                <a:latin typeface="华文中宋" panose="02010600040101010101" pitchFamily="2" charset="-122"/>
                <a:ea typeface="华文中宋" panose="02010600040101010101" pitchFamily="2" charset="-122"/>
              </a:rPr>
              <a:t>冷却器</a:t>
            </a:r>
            <a:endParaRPr lang="zh-CN" altLang="en-US" sz="1200" b="1">
              <a:solidFill>
                <a:schemeClr val="tx2"/>
              </a:solidFill>
              <a:latin typeface="华文中宋" panose="02010600040101010101" pitchFamily="2" charset="-122"/>
              <a:ea typeface="华文中宋" panose="02010600040101010101" pitchFamily="2" charset="-122"/>
            </a:endParaRPr>
          </a:p>
        </xdr:txBody>
      </xdr:sp>
    </xdr:grpSp>
    <xdr:clientData/>
  </xdr:twoCellAnchor>
  <xdr:twoCellAnchor editAs="oneCell">
    <xdr:from>
      <xdr:col>5</xdr:col>
      <xdr:colOff>9525</xdr:colOff>
      <xdr:row>118</xdr:row>
      <xdr:rowOff>9525</xdr:rowOff>
    </xdr:from>
    <xdr:to>
      <xdr:col>10</xdr:col>
      <xdr:colOff>695325</xdr:colOff>
      <xdr:row>147</xdr:row>
      <xdr:rowOff>133349</xdr:rowOff>
    </xdr:to>
    <xdr:pic>
      <xdr:nvPicPr>
        <xdr:cNvPr id="5151" name="Picture 31"/>
        <xdr:cNvPicPr>
          <a:picLocks noChangeAspect="1" noChangeArrowheads="1"/>
        </xdr:cNvPicPr>
      </xdr:nvPicPr>
      <xdr:blipFill>
        <a:blip r:embed="rId1" cstate="print"/>
        <a:srcRect/>
        <a:stretch>
          <a:fillRect/>
        </a:stretch>
      </xdr:blipFill>
      <xdr:spPr>
        <a:xfrm rot="-5400000">
          <a:off x="5275580" y="25814020"/>
          <a:ext cx="6421755" cy="617220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219" name="五边形 218">
          <a:hlinkClick xmlns:r="http://schemas.openxmlformats.org/officeDocument/2006/relationships" r:id="rId2"/>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mc:AlternateContent xmlns:mc="http://schemas.openxmlformats.org/markup-compatibility/2006">
    <mc:Choice xmlns:a14="http://schemas.microsoft.com/office/drawing/2010/main" Requires="a14">
      <xdr:twoCellAnchor editAs="oneCell">
        <xdr:from>
          <xdr:col>1</xdr:col>
          <xdr:colOff>0</xdr:colOff>
          <xdr:row>141</xdr:row>
          <xdr:rowOff>7620</xdr:rowOff>
        </xdr:from>
        <xdr:to>
          <xdr:col>2</xdr:col>
          <xdr:colOff>136525</xdr:colOff>
          <xdr:row>144</xdr:row>
          <xdr:rowOff>7620</xdr:rowOff>
        </xdr:to>
        <xdr:sp>
          <xdr:nvSpPr>
            <xdr:cNvPr id="5145" name="Object 25" hidden="1">
              <a:extLst>
                <a:ext uri="{63B3BB69-23CF-44E3-9099-C40C66FF867C}">
                  <a14:compatExt spid="_x0000_s5145"/>
                </a:ext>
              </a:extLst>
            </xdr:cNvPr>
            <xdr:cNvSpPr/>
          </xdr:nvSpPr>
          <xdr:spPr>
            <a:xfrm>
              <a:off x="1190625" y="30682565"/>
              <a:ext cx="1346200" cy="65151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144</xdr:row>
          <xdr:rowOff>7620</xdr:rowOff>
        </xdr:from>
        <xdr:to>
          <xdr:col>2</xdr:col>
          <xdr:colOff>922020</xdr:colOff>
          <xdr:row>147</xdr:row>
          <xdr:rowOff>0</xdr:rowOff>
        </xdr:to>
        <xdr:sp>
          <xdr:nvSpPr>
            <xdr:cNvPr id="5147" name="Object 27" hidden="1">
              <a:extLst>
                <a:ext uri="{63B3BB69-23CF-44E3-9099-C40C66FF867C}">
                  <a14:compatExt spid="_x0000_s5147"/>
                </a:ext>
              </a:extLst>
            </xdr:cNvPr>
            <xdr:cNvSpPr/>
          </xdr:nvSpPr>
          <xdr:spPr>
            <a:xfrm>
              <a:off x="1190625" y="31334075"/>
              <a:ext cx="2131695" cy="64389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147</xdr:row>
          <xdr:rowOff>7620</xdr:rowOff>
        </xdr:from>
        <xdr:to>
          <xdr:col>2</xdr:col>
          <xdr:colOff>518160</xdr:colOff>
          <xdr:row>150</xdr:row>
          <xdr:rowOff>7620</xdr:rowOff>
        </xdr:to>
        <xdr:sp>
          <xdr:nvSpPr>
            <xdr:cNvPr id="5148" name="Object 28" hidden="1">
              <a:extLst>
                <a:ext uri="{63B3BB69-23CF-44E3-9099-C40C66FF867C}">
                  <a14:compatExt spid="_x0000_s5148"/>
                </a:ext>
              </a:extLst>
            </xdr:cNvPr>
            <xdr:cNvSpPr/>
          </xdr:nvSpPr>
          <xdr:spPr>
            <a:xfrm>
              <a:off x="1190625" y="31985585"/>
              <a:ext cx="1727835" cy="65151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150</xdr:row>
          <xdr:rowOff>7620</xdr:rowOff>
        </xdr:from>
        <xdr:to>
          <xdr:col>3</xdr:col>
          <xdr:colOff>144145</xdr:colOff>
          <xdr:row>153</xdr:row>
          <xdr:rowOff>0</xdr:rowOff>
        </xdr:to>
        <xdr:sp>
          <xdr:nvSpPr>
            <xdr:cNvPr id="5149" name="Object 29" hidden="1">
              <a:extLst>
                <a:ext uri="{63B3BB69-23CF-44E3-9099-C40C66FF867C}">
                  <a14:compatExt spid="_x0000_s5149"/>
                </a:ext>
              </a:extLst>
            </xdr:cNvPr>
            <xdr:cNvSpPr/>
          </xdr:nvSpPr>
          <xdr:spPr>
            <a:xfrm>
              <a:off x="1190625" y="32637095"/>
              <a:ext cx="2544445" cy="64389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153</xdr:row>
          <xdr:rowOff>7620</xdr:rowOff>
        </xdr:from>
        <xdr:to>
          <xdr:col>2</xdr:col>
          <xdr:colOff>152400</xdr:colOff>
          <xdr:row>156</xdr:row>
          <xdr:rowOff>0</xdr:rowOff>
        </xdr:to>
        <xdr:sp>
          <xdr:nvSpPr>
            <xdr:cNvPr id="5150" name="Object 30" hidden="1">
              <a:extLst>
                <a:ext uri="{63B3BB69-23CF-44E3-9099-C40C66FF867C}">
                  <a14:compatExt spid="_x0000_s5150"/>
                </a:ext>
              </a:extLst>
            </xdr:cNvPr>
            <xdr:cNvSpPr/>
          </xdr:nvSpPr>
          <xdr:spPr>
            <a:xfrm>
              <a:off x="1190625" y="33288605"/>
              <a:ext cx="1362075" cy="643890"/>
            </a:xfrm>
            <a:prstGeom prst="rect">
              <a:avLst/>
            </a:prstGeom>
          </xdr:spPr>
        </xdr:sp>
        <xdr:clientData/>
      </xdr:twoCellAnchor>
    </mc:Choice>
    <mc:Fallback/>
  </mc:AlternateContent>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xdr:from>
      <xdr:col>14</xdr:col>
      <xdr:colOff>238125</xdr:colOff>
      <xdr:row>5</xdr:row>
      <xdr:rowOff>95246</xdr:rowOff>
    </xdr:from>
    <xdr:to>
      <xdr:col>14</xdr:col>
      <xdr:colOff>514350</xdr:colOff>
      <xdr:row>7</xdr:row>
      <xdr:rowOff>209549</xdr:rowOff>
    </xdr:to>
    <xdr:sp>
      <xdr:nvSpPr>
        <xdr:cNvPr id="17" name="燕尾形箭头 16"/>
        <xdr:cNvSpPr/>
      </xdr:nvSpPr>
      <xdr:spPr>
        <a:xfrm rot="-5400000">
          <a:off x="11207750" y="1378585"/>
          <a:ext cx="548640" cy="276225"/>
        </a:xfrm>
        <a:prstGeom prst="notchedRightArrow">
          <a:avLst/>
        </a:prstGeom>
        <a:no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zh-CN" altLang="en-US" sz="1100"/>
        </a:p>
      </xdr:txBody>
    </xdr:sp>
    <xdr:clientData/>
  </xdr:twoCellAnchor>
  <xdr:twoCellAnchor editAs="oneCell">
    <xdr:from>
      <xdr:col>8</xdr:col>
      <xdr:colOff>9525</xdr:colOff>
      <xdr:row>18</xdr:row>
      <xdr:rowOff>9525</xdr:rowOff>
    </xdr:from>
    <xdr:to>
      <xdr:col>12</xdr:col>
      <xdr:colOff>133350</xdr:colOff>
      <xdr:row>21</xdr:row>
      <xdr:rowOff>133923</xdr:rowOff>
    </xdr:to>
    <xdr:pic>
      <xdr:nvPicPr>
        <xdr:cNvPr id="4" name="Picture 3"/>
        <xdr:cNvPicPr>
          <a:picLocks noChangeAspect="1" noChangeArrowheads="1"/>
        </xdr:cNvPicPr>
      </xdr:nvPicPr>
      <xdr:blipFill>
        <a:blip r:embed="rId1" cstate="print"/>
        <a:srcRect/>
        <a:stretch>
          <a:fillRect/>
        </a:stretch>
      </xdr:blipFill>
      <xdr:spPr>
        <a:xfrm>
          <a:off x="6715125" y="3902075"/>
          <a:ext cx="3057525" cy="78105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1</xdr:col>
      <xdr:colOff>457201</xdr:colOff>
      <xdr:row>0</xdr:row>
      <xdr:rowOff>257175</xdr:rowOff>
    </xdr:to>
    <xdr:sp>
      <xdr:nvSpPr>
        <xdr:cNvPr id="5" name="五边形 4">
          <a:hlinkClick xmlns:r="http://schemas.openxmlformats.org/officeDocument/2006/relationships" r:id="rId2"/>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0</xdr:colOff>
      <xdr:row>17</xdr:row>
      <xdr:rowOff>0</xdr:rowOff>
    </xdr:from>
    <xdr:to>
      <xdr:col>18</xdr:col>
      <xdr:colOff>571500</xdr:colOff>
      <xdr:row>21</xdr:row>
      <xdr:rowOff>152400</xdr:rowOff>
    </xdr:to>
    <xdr:pic>
      <xdr:nvPicPr>
        <xdr:cNvPr id="22" name="Picture 15"/>
        <xdr:cNvPicPr>
          <a:picLocks noChangeAspect="1" noChangeArrowheads="1"/>
        </xdr:cNvPicPr>
      </xdr:nvPicPr>
      <xdr:blipFill>
        <a:blip r:embed="rId1" cstate="print"/>
        <a:srcRect/>
        <a:stretch>
          <a:fillRect/>
        </a:stretch>
      </xdr:blipFill>
      <xdr:spPr>
        <a:xfrm>
          <a:off x="10248900" y="4363085"/>
          <a:ext cx="6867525" cy="1173480"/>
        </a:xfrm>
        <a:prstGeom prst="rect">
          <a:avLst/>
        </a:prstGeom>
        <a:noFill/>
        <a:ln w="1">
          <a:noFill/>
          <a:miter lim="800000"/>
          <a:headEnd/>
          <a:tailEnd type="none" w="med" len="med"/>
        </a:ln>
        <a:effectLst/>
      </xdr:spPr>
    </xdr:pic>
    <xdr:clientData/>
  </xdr:twoCellAnchor>
  <xdr:twoCellAnchor editAs="oneCell">
    <xdr:from>
      <xdr:col>5</xdr:col>
      <xdr:colOff>9525</xdr:colOff>
      <xdr:row>41</xdr:row>
      <xdr:rowOff>9525</xdr:rowOff>
    </xdr:from>
    <xdr:to>
      <xdr:col>11</xdr:col>
      <xdr:colOff>628650</xdr:colOff>
      <xdr:row>54</xdr:row>
      <xdr:rowOff>133350</xdr:rowOff>
    </xdr:to>
    <xdr:pic>
      <xdr:nvPicPr>
        <xdr:cNvPr id="24585" name="Picture 9"/>
        <xdr:cNvPicPr>
          <a:picLocks noChangeAspect="1" noChangeArrowheads="1"/>
        </xdr:cNvPicPr>
      </xdr:nvPicPr>
      <xdr:blipFill>
        <a:blip r:embed="rId2" cstate="print"/>
        <a:srcRect/>
        <a:stretch>
          <a:fillRect/>
        </a:stretch>
      </xdr:blipFill>
      <xdr:spPr>
        <a:xfrm>
          <a:off x="5657850" y="10499090"/>
          <a:ext cx="4562475" cy="3442335"/>
        </a:xfrm>
        <a:prstGeom prst="rect">
          <a:avLst/>
        </a:prstGeom>
        <a:noFill/>
        <a:ln w="1">
          <a:noFill/>
          <a:miter lim="800000"/>
          <a:headEnd/>
          <a:tailEnd type="none" w="med" len="med"/>
        </a:ln>
        <a:effectLst/>
      </xdr:spPr>
    </xdr:pic>
    <xdr:clientData/>
  </xdr:twoCellAnchor>
  <xdr:twoCellAnchor editAs="oneCell">
    <xdr:from>
      <xdr:col>5</xdr:col>
      <xdr:colOff>9525</xdr:colOff>
      <xdr:row>56</xdr:row>
      <xdr:rowOff>9525</xdr:rowOff>
    </xdr:from>
    <xdr:to>
      <xdr:col>13</xdr:col>
      <xdr:colOff>57150</xdr:colOff>
      <xdr:row>67</xdr:row>
      <xdr:rowOff>66675</xdr:rowOff>
    </xdr:to>
    <xdr:pic>
      <xdr:nvPicPr>
        <xdr:cNvPr id="10" name="Picture 16" descr="20052142032148856"/>
        <xdr:cNvPicPr>
          <a:picLocks noChangeAspect="1" noChangeArrowheads="1"/>
        </xdr:cNvPicPr>
      </xdr:nvPicPr>
      <xdr:blipFill>
        <a:blip r:embed="rId3" cstate="print"/>
        <a:srcRect/>
        <a:stretch>
          <a:fillRect/>
        </a:stretch>
      </xdr:blipFill>
      <xdr:spPr>
        <a:xfrm>
          <a:off x="5657850" y="14328140"/>
          <a:ext cx="5305425" cy="2865120"/>
        </a:xfrm>
        <a:prstGeom prst="rect">
          <a:avLst/>
        </a:prstGeom>
        <a:noFill/>
        <a:ln w="9525">
          <a:noFill/>
          <a:miter lim="800000"/>
          <a:headEnd/>
          <a:tailEnd/>
        </a:ln>
      </xdr:spPr>
    </xdr:pic>
    <xdr:clientData/>
  </xdr:twoCellAnchor>
  <xdr:twoCellAnchor>
    <xdr:from>
      <xdr:col>9</xdr:col>
      <xdr:colOff>504825</xdr:colOff>
      <xdr:row>59</xdr:row>
      <xdr:rowOff>142875</xdr:rowOff>
    </xdr:from>
    <xdr:to>
      <xdr:col>10</xdr:col>
      <xdr:colOff>95250</xdr:colOff>
      <xdr:row>60</xdr:row>
      <xdr:rowOff>76200</xdr:rowOff>
    </xdr:to>
    <xdr:sp>
      <xdr:nvSpPr>
        <xdr:cNvPr id="12" name="矩形 11"/>
        <xdr:cNvSpPr/>
      </xdr:nvSpPr>
      <xdr:spPr>
        <a:xfrm>
          <a:off x="8782050" y="15227300"/>
          <a:ext cx="247650" cy="188595"/>
        </a:xfrm>
        <a:prstGeom prst="rect">
          <a:avLst/>
        </a:prstGeom>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rtlCol="0" anchor="ctr"/>
        <a:lstStyle/>
        <a:p>
          <a:pPr algn="ctr"/>
          <a:endParaRPr lang="zh-CN" altLang="en-US" sz="1100"/>
        </a:p>
      </xdr:txBody>
    </xdr:sp>
    <xdr:clientData/>
  </xdr:twoCellAnchor>
  <xdr:twoCellAnchor>
    <xdr:from>
      <xdr:col>12</xdr:col>
      <xdr:colOff>400050</xdr:colOff>
      <xdr:row>58</xdr:row>
      <xdr:rowOff>238125</xdr:rowOff>
    </xdr:from>
    <xdr:to>
      <xdr:col>12</xdr:col>
      <xdr:colOff>647700</xdr:colOff>
      <xdr:row>59</xdr:row>
      <xdr:rowOff>171450</xdr:rowOff>
    </xdr:to>
    <xdr:sp>
      <xdr:nvSpPr>
        <xdr:cNvPr id="13" name="矩形 12"/>
        <xdr:cNvSpPr/>
      </xdr:nvSpPr>
      <xdr:spPr>
        <a:xfrm>
          <a:off x="10648950" y="15067280"/>
          <a:ext cx="247650" cy="188595"/>
        </a:xfrm>
        <a:prstGeom prst="rect">
          <a:avLst/>
        </a:prstGeom>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rtlCol="0" anchor="ctr"/>
        <a:lstStyle/>
        <a:p>
          <a:pPr algn="ctr"/>
          <a:endParaRPr lang="zh-CN" altLang="en-US" sz="1100"/>
        </a:p>
      </xdr:txBody>
    </xdr:sp>
    <xdr:clientData/>
  </xdr:twoCellAnchor>
  <xdr:twoCellAnchor>
    <xdr:from>
      <xdr:col>8</xdr:col>
      <xdr:colOff>581025</xdr:colOff>
      <xdr:row>60</xdr:row>
      <xdr:rowOff>0</xdr:rowOff>
    </xdr:from>
    <xdr:to>
      <xdr:col>9</xdr:col>
      <xdr:colOff>190500</xdr:colOff>
      <xdr:row>60</xdr:row>
      <xdr:rowOff>0</xdr:rowOff>
    </xdr:to>
    <xdr:cxnSp>
      <xdr:nvCxnSpPr>
        <xdr:cNvPr id="20" name="直接箭头连接符 19"/>
        <xdr:cNvCxnSpPr/>
      </xdr:nvCxnSpPr>
      <xdr:spPr>
        <a:xfrm>
          <a:off x="8201025" y="15339695"/>
          <a:ext cx="266700" cy="0"/>
        </a:xfrm>
        <a:prstGeom prst="straightConnector1">
          <a:avLst/>
        </a:prstGeom>
        <a:ln>
          <a:solidFill>
            <a:srgbClr val="FF0000"/>
          </a:solidFill>
          <a:tailEnd type="arrow"/>
        </a:ln>
      </xdr:spPr>
      <xdr:style>
        <a:lnRef idx="2">
          <a:schemeClr val="accent2"/>
        </a:lnRef>
        <a:fillRef idx="0">
          <a:schemeClr val="accent2"/>
        </a:fillRef>
        <a:effectRef idx="1">
          <a:schemeClr val="accent2"/>
        </a:effectRef>
        <a:fontRef idx="minor">
          <a:schemeClr val="tx1"/>
        </a:fontRef>
      </xdr:style>
    </xdr:cxnSp>
    <xdr:clientData/>
  </xdr:twoCellAnchor>
  <xdr:twoCellAnchor>
    <xdr:from>
      <xdr:col>11</xdr:col>
      <xdr:colOff>438150</xdr:colOff>
      <xdr:row>59</xdr:row>
      <xdr:rowOff>219075</xdr:rowOff>
    </xdr:from>
    <xdr:to>
      <xdr:col>12</xdr:col>
      <xdr:colOff>47625</xdr:colOff>
      <xdr:row>59</xdr:row>
      <xdr:rowOff>219075</xdr:rowOff>
    </xdr:to>
    <xdr:cxnSp>
      <xdr:nvCxnSpPr>
        <xdr:cNvPr id="21" name="直接箭头连接符 20"/>
        <xdr:cNvCxnSpPr/>
      </xdr:nvCxnSpPr>
      <xdr:spPr>
        <a:xfrm>
          <a:off x="10029825" y="15303500"/>
          <a:ext cx="266700" cy="0"/>
        </a:xfrm>
        <a:prstGeom prst="straightConnector1">
          <a:avLst/>
        </a:prstGeom>
        <a:ln>
          <a:solidFill>
            <a:srgbClr val="FF0000"/>
          </a:solidFill>
          <a:tailEnd type="arrow"/>
        </a:ln>
      </xdr:spPr>
      <xdr:style>
        <a:lnRef idx="2">
          <a:schemeClr val="accent2"/>
        </a:lnRef>
        <a:fillRef idx="0">
          <a:schemeClr val="accent2"/>
        </a:fillRef>
        <a:effectRef idx="1">
          <a:schemeClr val="accent2"/>
        </a:effectRef>
        <a:fontRef idx="minor">
          <a:schemeClr val="tx1"/>
        </a:fontRef>
      </xdr:style>
    </xdr:cxnSp>
    <xdr:clientData/>
  </xdr:twoCellAnchor>
  <xdr:twoCellAnchor>
    <xdr:from>
      <xdr:col>9</xdr:col>
      <xdr:colOff>266700</xdr:colOff>
      <xdr:row>60</xdr:row>
      <xdr:rowOff>0</xdr:rowOff>
    </xdr:from>
    <xdr:to>
      <xdr:col>9</xdr:col>
      <xdr:colOff>533400</xdr:colOff>
      <xdr:row>60</xdr:row>
      <xdr:rowOff>0</xdr:rowOff>
    </xdr:to>
    <xdr:cxnSp>
      <xdr:nvCxnSpPr>
        <xdr:cNvPr id="26" name="直接箭头连接符 25"/>
        <xdr:cNvCxnSpPr/>
      </xdr:nvCxnSpPr>
      <xdr:spPr>
        <a:xfrm rot="10800000">
          <a:off x="8543925" y="15339695"/>
          <a:ext cx="266700" cy="0"/>
        </a:xfrm>
        <a:prstGeom prst="straightConnector1">
          <a:avLst/>
        </a:prstGeom>
        <a:ln>
          <a:solidFill>
            <a:srgbClr val="FF0000"/>
          </a:solidFill>
          <a:tailEnd type="arrow"/>
        </a:ln>
      </xdr:spPr>
      <xdr:style>
        <a:lnRef idx="2">
          <a:schemeClr val="accent2"/>
        </a:lnRef>
        <a:fillRef idx="0">
          <a:schemeClr val="accent2"/>
        </a:fillRef>
        <a:effectRef idx="1">
          <a:schemeClr val="accent2"/>
        </a:effectRef>
        <a:fontRef idx="minor">
          <a:schemeClr val="tx1"/>
        </a:fontRef>
      </xdr:style>
    </xdr:cxnSp>
    <xdr:clientData/>
  </xdr:twoCellAnchor>
  <xdr:twoCellAnchor>
    <xdr:from>
      <xdr:col>12</xdr:col>
      <xdr:colOff>76200</xdr:colOff>
      <xdr:row>59</xdr:row>
      <xdr:rowOff>209550</xdr:rowOff>
    </xdr:from>
    <xdr:to>
      <xdr:col>12</xdr:col>
      <xdr:colOff>342900</xdr:colOff>
      <xdr:row>59</xdr:row>
      <xdr:rowOff>209550</xdr:rowOff>
    </xdr:to>
    <xdr:cxnSp>
      <xdr:nvCxnSpPr>
        <xdr:cNvPr id="27" name="直接箭头连接符 26"/>
        <xdr:cNvCxnSpPr/>
      </xdr:nvCxnSpPr>
      <xdr:spPr>
        <a:xfrm rot="10800000">
          <a:off x="10325100" y="15293975"/>
          <a:ext cx="266700" cy="0"/>
        </a:xfrm>
        <a:prstGeom prst="straightConnector1">
          <a:avLst/>
        </a:prstGeom>
        <a:ln>
          <a:solidFill>
            <a:srgbClr val="FF0000"/>
          </a:solidFill>
          <a:tailEnd type="arrow"/>
        </a:ln>
      </xdr:spPr>
      <xdr:style>
        <a:lnRef idx="2">
          <a:schemeClr val="accent2"/>
        </a:lnRef>
        <a:fillRef idx="0">
          <a:schemeClr val="accent2"/>
        </a:fillRef>
        <a:effectRef idx="1">
          <a:schemeClr val="accent2"/>
        </a:effectRef>
        <a:fontRef idx="minor">
          <a:schemeClr val="tx1"/>
        </a:fontRef>
      </xdr:style>
    </xdr:cxnSp>
    <xdr:clientData/>
  </xdr:twoCellAnchor>
  <xdr:oneCellAnchor>
    <xdr:from>
      <xdr:col>9</xdr:col>
      <xdr:colOff>438150</xdr:colOff>
      <xdr:row>58</xdr:row>
      <xdr:rowOff>209550</xdr:rowOff>
    </xdr:from>
    <xdr:ext cx="431721" cy="342786"/>
    <xdr:sp>
      <xdr:nvSpPr>
        <xdr:cNvPr id="28" name="TextBox 27"/>
        <xdr:cNvSpPr txBox="1"/>
      </xdr:nvSpPr>
      <xdr:spPr>
        <a:xfrm>
          <a:off x="8715375" y="15038705"/>
          <a:ext cx="431165" cy="3422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600">
              <a:solidFill>
                <a:srgbClr val="FF0000"/>
              </a:solidFill>
            </a:rPr>
            <a:t>c</a:t>
          </a:r>
          <a:r>
            <a:rPr lang="en-US" altLang="zh-CN" sz="1400">
              <a:solidFill>
                <a:srgbClr val="FF0000"/>
              </a:solidFill>
            </a:rPr>
            <a:t>/2</a:t>
          </a:r>
          <a:endParaRPr lang="zh-CN" altLang="en-US" sz="1400">
            <a:solidFill>
              <a:srgbClr val="FF0000"/>
            </a:solidFill>
          </a:endParaRPr>
        </a:p>
      </xdr:txBody>
    </xdr:sp>
    <xdr:clientData/>
  </xdr:oneCellAnchor>
  <xdr:oneCellAnchor>
    <xdr:from>
      <xdr:col>12</xdr:col>
      <xdr:colOff>228600</xdr:colOff>
      <xdr:row>58</xdr:row>
      <xdr:rowOff>66675</xdr:rowOff>
    </xdr:from>
    <xdr:ext cx="431721" cy="342786"/>
    <xdr:sp>
      <xdr:nvSpPr>
        <xdr:cNvPr id="29" name="TextBox 28"/>
        <xdr:cNvSpPr txBox="1"/>
      </xdr:nvSpPr>
      <xdr:spPr>
        <a:xfrm>
          <a:off x="10477500" y="14895830"/>
          <a:ext cx="431165" cy="3422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r>
            <a:rPr lang="en-US" altLang="zh-CN" sz="1600">
              <a:solidFill>
                <a:srgbClr val="FF0000"/>
              </a:solidFill>
            </a:rPr>
            <a:t>c</a:t>
          </a:r>
          <a:r>
            <a:rPr lang="en-US" altLang="zh-CN" sz="1400">
              <a:solidFill>
                <a:srgbClr val="FF0000"/>
              </a:solidFill>
            </a:rPr>
            <a:t>/2</a:t>
          </a:r>
          <a:endParaRPr lang="zh-CN" altLang="en-US" sz="1400">
            <a:solidFill>
              <a:srgbClr val="FF0000"/>
            </a:solidFill>
          </a:endParaRPr>
        </a:p>
      </xdr:txBody>
    </xdr:sp>
    <xdr:clientData/>
  </xdr:oneCellAnchor>
  <xdr:twoCellAnchor editAs="oneCell">
    <xdr:from>
      <xdr:col>0</xdr:col>
      <xdr:colOff>19050</xdr:colOff>
      <xdr:row>57</xdr:row>
      <xdr:rowOff>1</xdr:rowOff>
    </xdr:from>
    <xdr:to>
      <xdr:col>2</xdr:col>
      <xdr:colOff>1089741</xdr:colOff>
      <xdr:row>69</xdr:row>
      <xdr:rowOff>76201</xdr:rowOff>
    </xdr:to>
    <xdr:pic>
      <xdr:nvPicPr>
        <xdr:cNvPr id="24587" name="Picture 11"/>
        <xdr:cNvPicPr>
          <a:picLocks noChangeAspect="1" noChangeArrowheads="1"/>
        </xdr:cNvPicPr>
      </xdr:nvPicPr>
      <xdr:blipFill>
        <a:blip r:embed="rId4" cstate="print"/>
        <a:srcRect/>
        <a:stretch>
          <a:fillRect/>
        </a:stretch>
      </xdr:blipFill>
      <xdr:spPr>
        <a:xfrm>
          <a:off x="19050" y="14573885"/>
          <a:ext cx="3756660" cy="3139440"/>
        </a:xfrm>
        <a:prstGeom prst="rect">
          <a:avLst/>
        </a:prstGeom>
        <a:noFill/>
        <a:ln w="1">
          <a:noFill/>
          <a:miter lim="800000"/>
          <a:headEnd/>
          <a:tailEnd type="none" w="med" len="med"/>
        </a:ln>
        <a:effectLst/>
      </xdr:spPr>
    </xdr:pic>
    <xdr:clientData/>
  </xdr:twoCellAnchor>
  <xdr:twoCellAnchor editAs="oneCell">
    <xdr:from>
      <xdr:col>12</xdr:col>
      <xdr:colOff>0</xdr:colOff>
      <xdr:row>54</xdr:row>
      <xdr:rowOff>104775</xdr:rowOff>
    </xdr:from>
    <xdr:to>
      <xdr:col>18</xdr:col>
      <xdr:colOff>561975</xdr:colOff>
      <xdr:row>57</xdr:row>
      <xdr:rowOff>209550</xdr:rowOff>
    </xdr:to>
    <xdr:pic>
      <xdr:nvPicPr>
        <xdr:cNvPr id="25" name="Picture 18"/>
        <xdr:cNvPicPr>
          <a:picLocks noChangeAspect="1" noChangeArrowheads="1"/>
        </xdr:cNvPicPr>
      </xdr:nvPicPr>
      <xdr:blipFill>
        <a:blip r:embed="rId5" cstate="print"/>
        <a:srcRect/>
        <a:stretch>
          <a:fillRect/>
        </a:stretch>
      </xdr:blipFill>
      <xdr:spPr>
        <a:xfrm>
          <a:off x="10248900" y="13912850"/>
          <a:ext cx="6858000" cy="870585"/>
        </a:xfrm>
        <a:prstGeom prst="rect">
          <a:avLst/>
        </a:prstGeom>
        <a:noFill/>
        <a:ln w="1">
          <a:noFill/>
          <a:miter lim="800000"/>
          <a:headEnd/>
          <a:tailEnd type="none" w="med" len="med"/>
        </a:ln>
        <a:effectLst/>
      </xdr:spPr>
    </xdr:pic>
    <xdr:clientData/>
  </xdr:twoCellAnchor>
  <xdr:twoCellAnchor editAs="oneCell">
    <xdr:from>
      <xdr:col>12</xdr:col>
      <xdr:colOff>0</xdr:colOff>
      <xdr:row>42</xdr:row>
      <xdr:rowOff>38100</xdr:rowOff>
    </xdr:from>
    <xdr:to>
      <xdr:col>18</xdr:col>
      <xdr:colOff>571500</xdr:colOff>
      <xdr:row>54</xdr:row>
      <xdr:rowOff>123825</xdr:rowOff>
    </xdr:to>
    <xdr:pic>
      <xdr:nvPicPr>
        <xdr:cNvPr id="24" name="Picture 17"/>
        <xdr:cNvPicPr>
          <a:picLocks noChangeAspect="1" noChangeArrowheads="1"/>
        </xdr:cNvPicPr>
      </xdr:nvPicPr>
      <xdr:blipFill>
        <a:blip r:embed="rId6" cstate="print"/>
        <a:srcRect/>
        <a:stretch>
          <a:fillRect/>
        </a:stretch>
      </xdr:blipFill>
      <xdr:spPr>
        <a:xfrm>
          <a:off x="10248900" y="10782935"/>
          <a:ext cx="6867525" cy="3148965"/>
        </a:xfrm>
        <a:prstGeom prst="rect">
          <a:avLst/>
        </a:prstGeom>
        <a:noFill/>
        <a:ln w="1">
          <a:noFill/>
          <a:miter lim="800000"/>
          <a:headEnd/>
          <a:tailEnd type="none" w="med" len="med"/>
        </a:ln>
        <a:effectLst/>
      </xdr:spPr>
    </xdr:pic>
    <xdr:clientData/>
  </xdr:twoCellAnchor>
  <xdr:twoCellAnchor editAs="oneCell">
    <xdr:from>
      <xdr:col>12</xdr:col>
      <xdr:colOff>0</xdr:colOff>
      <xdr:row>21</xdr:row>
      <xdr:rowOff>142875</xdr:rowOff>
    </xdr:from>
    <xdr:to>
      <xdr:col>18</xdr:col>
      <xdr:colOff>561975</xdr:colOff>
      <xdr:row>42</xdr:row>
      <xdr:rowOff>47625</xdr:rowOff>
    </xdr:to>
    <xdr:pic>
      <xdr:nvPicPr>
        <xdr:cNvPr id="23" name="Picture 16"/>
        <xdr:cNvPicPr>
          <a:picLocks noChangeAspect="1" noChangeArrowheads="1"/>
        </xdr:cNvPicPr>
      </xdr:nvPicPr>
      <xdr:blipFill>
        <a:blip r:embed="rId7" cstate="print"/>
        <a:srcRect/>
        <a:stretch>
          <a:fillRect/>
        </a:stretch>
      </xdr:blipFill>
      <xdr:spPr>
        <a:xfrm>
          <a:off x="10248900" y="5527040"/>
          <a:ext cx="6858000" cy="5265420"/>
        </a:xfrm>
        <a:prstGeom prst="rect">
          <a:avLst/>
        </a:prstGeom>
        <a:noFill/>
        <a:ln w="1">
          <a:noFill/>
          <a:miter lim="800000"/>
          <a:headEnd/>
          <a:tailEnd type="none" w="med" len="med"/>
        </a:ln>
        <a:effectLst/>
      </xdr:spPr>
    </xdr:pic>
    <xdr:clientData/>
  </xdr:twoCellAnchor>
  <xdr:twoCellAnchor>
    <xdr:from>
      <xdr:col>0</xdr:col>
      <xdr:colOff>9525</xdr:colOff>
      <xdr:row>0</xdr:row>
      <xdr:rowOff>19050</xdr:rowOff>
    </xdr:from>
    <xdr:to>
      <xdr:col>0</xdr:col>
      <xdr:colOff>819151</xdr:colOff>
      <xdr:row>0</xdr:row>
      <xdr:rowOff>257175</xdr:rowOff>
    </xdr:to>
    <xdr:sp>
      <xdr:nvSpPr>
        <xdr:cNvPr id="17" name="五边形 16">
          <a:hlinkClick xmlns:r="http://schemas.openxmlformats.org/officeDocument/2006/relationships" r:id="rId8"/>
        </xdr:cNvPr>
        <xdr:cNvSpPr/>
      </xdr:nvSpPr>
      <xdr:spPr>
        <a:xfrm flipH="1">
          <a:off x="9525"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xdr:twoCellAnchor editAs="oneCell">
    <xdr:from>
      <xdr:col>3</xdr:col>
      <xdr:colOff>9525</xdr:colOff>
      <xdr:row>33</xdr:row>
      <xdr:rowOff>9525</xdr:rowOff>
    </xdr:from>
    <xdr:to>
      <xdr:col>3</xdr:col>
      <xdr:colOff>581025</xdr:colOff>
      <xdr:row>34</xdr:row>
      <xdr:rowOff>171450</xdr:rowOff>
    </xdr:to>
    <xdr:pic>
      <xdr:nvPicPr>
        <xdr:cNvPr id="3" name="Picture 11"/>
        <xdr:cNvPicPr>
          <a:picLocks noChangeAspect="1" noChangeArrowheads="1"/>
        </xdr:cNvPicPr>
      </xdr:nvPicPr>
      <xdr:blipFill>
        <a:blip r:embed="rId9" cstate="print">
          <a:extLst>
            <a:ext uri="{28A0092B-C50C-407E-A947-70E740481C1C}">
              <a14:useLocalDpi xmlns:a14="http://schemas.microsoft.com/office/drawing/2010/main" val="0"/>
            </a:ext>
          </a:extLst>
        </a:blip>
        <a:srcRect/>
        <a:stretch>
          <a:fillRect/>
        </a:stretch>
      </xdr:blipFill>
      <xdr:spPr>
        <a:xfrm>
          <a:off x="3886200" y="8456930"/>
          <a:ext cx="571500" cy="417195"/>
        </a:xfrm>
        <a:prstGeom prst="rect">
          <a:avLst/>
        </a:prstGeom>
        <a:solidFill>
          <a:srgbClr val="FFFFFF"/>
        </a:solidFill>
        <a:ln w="9525">
          <a:solidFill>
            <a:srgbClr val="000000"/>
          </a:solidFill>
          <a:miter lim="800000"/>
          <a:headEnd/>
          <a:tailEnd/>
        </a:ln>
      </xdr:spPr>
    </xdr:pic>
    <xdr:clientData/>
  </xdr:twoCellAnchor>
  <mc:AlternateContent xmlns:mc="http://schemas.openxmlformats.org/markup-compatibility/2006">
    <mc:Choice xmlns:a14="http://schemas.microsoft.com/office/drawing/2010/main" Requires="a14">
      <xdr:twoCellAnchor editAs="oneCell">
        <xdr:from>
          <xdr:col>3</xdr:col>
          <xdr:colOff>7620</xdr:colOff>
          <xdr:row>7</xdr:row>
          <xdr:rowOff>7620</xdr:rowOff>
        </xdr:from>
        <xdr:to>
          <xdr:col>3</xdr:col>
          <xdr:colOff>1021080</xdr:colOff>
          <xdr:row>8</xdr:row>
          <xdr:rowOff>129540</xdr:rowOff>
        </xdr:to>
        <xdr:sp>
          <xdr:nvSpPr>
            <xdr:cNvPr id="24579" name="Object 3" hidden="1">
              <a:extLst>
                <a:ext uri="{63B3BB69-23CF-44E3-9099-C40C66FF867C}">
                  <a14:compatExt spid="_x0000_s24579"/>
                </a:ext>
              </a:extLst>
            </xdr:cNvPr>
            <xdr:cNvSpPr/>
          </xdr:nvSpPr>
          <xdr:spPr>
            <a:xfrm>
              <a:off x="3884295" y="1818005"/>
              <a:ext cx="1013460" cy="37719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7620</xdr:colOff>
          <xdr:row>15</xdr:row>
          <xdr:rowOff>7620</xdr:rowOff>
        </xdr:from>
        <xdr:to>
          <xdr:col>3</xdr:col>
          <xdr:colOff>617220</xdr:colOff>
          <xdr:row>16</xdr:row>
          <xdr:rowOff>76200</xdr:rowOff>
        </xdr:to>
        <xdr:sp>
          <xdr:nvSpPr>
            <xdr:cNvPr id="24581" name="Object 5" hidden="1">
              <a:extLst>
                <a:ext uri="{63B3BB69-23CF-44E3-9099-C40C66FF867C}">
                  <a14:compatExt spid="_x0000_s24581"/>
                </a:ext>
              </a:extLst>
            </xdr:cNvPr>
            <xdr:cNvSpPr/>
          </xdr:nvSpPr>
          <xdr:spPr>
            <a:xfrm>
              <a:off x="3884295" y="3860165"/>
              <a:ext cx="609600" cy="32385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7620</xdr:colOff>
          <xdr:row>10</xdr:row>
          <xdr:rowOff>7620</xdr:rowOff>
        </xdr:from>
        <xdr:to>
          <xdr:col>3</xdr:col>
          <xdr:colOff>937260</xdr:colOff>
          <xdr:row>11</xdr:row>
          <xdr:rowOff>160020</xdr:rowOff>
        </xdr:to>
        <xdr:sp>
          <xdr:nvSpPr>
            <xdr:cNvPr id="24582" name="Object 6" hidden="1">
              <a:extLst>
                <a:ext uri="{63B3BB69-23CF-44E3-9099-C40C66FF867C}">
                  <a14:compatExt spid="_x0000_s24582"/>
                </a:ext>
              </a:extLst>
            </xdr:cNvPr>
            <xdr:cNvSpPr/>
          </xdr:nvSpPr>
          <xdr:spPr>
            <a:xfrm>
              <a:off x="3884295" y="2583815"/>
              <a:ext cx="929640" cy="40767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7620</xdr:colOff>
          <xdr:row>44</xdr:row>
          <xdr:rowOff>7620</xdr:rowOff>
        </xdr:from>
        <xdr:to>
          <xdr:col>3</xdr:col>
          <xdr:colOff>868045</xdr:colOff>
          <xdr:row>45</xdr:row>
          <xdr:rowOff>106680</xdr:rowOff>
        </xdr:to>
        <xdr:sp>
          <xdr:nvSpPr>
            <xdr:cNvPr id="24584" name="Object 8" hidden="1">
              <a:extLst>
                <a:ext uri="{63B3BB69-23CF-44E3-9099-C40C66FF867C}">
                  <a14:compatExt spid="_x0000_s24584"/>
                </a:ext>
              </a:extLst>
            </xdr:cNvPr>
            <xdr:cNvSpPr/>
          </xdr:nvSpPr>
          <xdr:spPr>
            <a:xfrm>
              <a:off x="3884295" y="11262995"/>
              <a:ext cx="860425" cy="35433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7620</xdr:colOff>
          <xdr:row>37</xdr:row>
          <xdr:rowOff>0</xdr:rowOff>
        </xdr:from>
        <xdr:to>
          <xdr:col>3</xdr:col>
          <xdr:colOff>1036320</xdr:colOff>
          <xdr:row>38</xdr:row>
          <xdr:rowOff>121920</xdr:rowOff>
        </xdr:to>
        <xdr:sp>
          <xdr:nvSpPr>
            <xdr:cNvPr id="24586" name="Object 9" hidden="1">
              <a:extLst>
                <a:ext uri="{63B3BB69-23CF-44E3-9099-C40C66FF867C}">
                  <a14:compatExt spid="_x0000_s24586"/>
                </a:ext>
              </a:extLst>
            </xdr:cNvPr>
            <xdr:cNvSpPr/>
          </xdr:nvSpPr>
          <xdr:spPr>
            <a:xfrm>
              <a:off x="3884295" y="9468485"/>
              <a:ext cx="1028700" cy="37719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7620</xdr:colOff>
          <xdr:row>35</xdr:row>
          <xdr:rowOff>7620</xdr:rowOff>
        </xdr:from>
        <xdr:to>
          <xdr:col>3</xdr:col>
          <xdr:colOff>594360</xdr:colOff>
          <xdr:row>36</xdr:row>
          <xdr:rowOff>114300</xdr:rowOff>
        </xdr:to>
        <xdr:sp>
          <xdr:nvSpPr>
            <xdr:cNvPr id="24588" name="Object 10" hidden="1">
              <a:extLst>
                <a:ext uri="{63B3BB69-23CF-44E3-9099-C40C66FF867C}">
                  <a14:compatExt spid="_x0000_s24588"/>
                </a:ext>
              </a:extLst>
            </xdr:cNvPr>
            <xdr:cNvSpPr/>
          </xdr:nvSpPr>
          <xdr:spPr>
            <a:xfrm>
              <a:off x="3884295" y="8965565"/>
              <a:ext cx="586740" cy="361950"/>
            </a:xfrm>
            <a:prstGeom prst="rect">
              <a:avLst/>
            </a:prstGeom>
          </xdr:spPr>
        </xdr:sp>
        <xdr:clientData/>
      </xdr:twoCellAnchor>
    </mc:Choice>
    <mc:Fallback/>
  </mc:AlternateContent>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19050</xdr:colOff>
      <xdr:row>15</xdr:row>
      <xdr:rowOff>16249</xdr:rowOff>
    </xdr:from>
    <xdr:to>
      <xdr:col>13</xdr:col>
      <xdr:colOff>190500</xdr:colOff>
      <xdr:row>36</xdr:row>
      <xdr:rowOff>57150</xdr:rowOff>
    </xdr:to>
    <xdr:pic>
      <xdr:nvPicPr>
        <xdr:cNvPr id="2" name="Picture 3"/>
        <xdr:cNvPicPr>
          <a:picLocks noChangeAspect="1" noChangeArrowheads="1"/>
        </xdr:cNvPicPr>
      </xdr:nvPicPr>
      <xdr:blipFill>
        <a:blip r:embed="rId1" cstate="print"/>
        <a:srcRect/>
        <a:stretch>
          <a:fillRect/>
        </a:stretch>
      </xdr:blipFill>
      <xdr:spPr>
        <a:xfrm>
          <a:off x="5734050" y="3335020"/>
          <a:ext cx="5429250" cy="3895090"/>
        </a:xfrm>
        <a:prstGeom prst="rect">
          <a:avLst/>
        </a:prstGeom>
        <a:noFill/>
        <a:ln w="1">
          <a:noFill/>
          <a:miter lim="800000"/>
          <a:headEnd/>
          <a:tailEnd type="none" w="med" len="med"/>
        </a:ln>
        <a:effectLst/>
      </xdr:spPr>
    </xdr:pic>
    <xdr:clientData/>
  </xdr:twoCellAnchor>
  <xdr:twoCellAnchor editAs="oneCell">
    <xdr:from>
      <xdr:col>5</xdr:col>
      <xdr:colOff>1</xdr:colOff>
      <xdr:row>43</xdr:row>
      <xdr:rowOff>0</xdr:rowOff>
    </xdr:from>
    <xdr:to>
      <xdr:col>16</xdr:col>
      <xdr:colOff>257176</xdr:colOff>
      <xdr:row>65</xdr:row>
      <xdr:rowOff>28575</xdr:rowOff>
    </xdr:to>
    <xdr:pic>
      <xdr:nvPicPr>
        <xdr:cNvPr id="3" name="Picture 6"/>
        <xdr:cNvPicPr>
          <a:picLocks noChangeAspect="1" noChangeArrowheads="1"/>
        </xdr:cNvPicPr>
      </xdr:nvPicPr>
      <xdr:blipFill>
        <a:blip r:embed="rId2" cstate="print"/>
        <a:srcRect/>
        <a:stretch>
          <a:fillRect/>
        </a:stretch>
      </xdr:blipFill>
      <xdr:spPr>
        <a:xfrm>
          <a:off x="5715000" y="8432165"/>
          <a:ext cx="7486650" cy="3922395"/>
        </a:xfrm>
        <a:prstGeom prst="rect">
          <a:avLst/>
        </a:prstGeom>
        <a:noFill/>
        <a:ln w="1">
          <a:noFill/>
          <a:miter lim="800000"/>
          <a:headEnd/>
          <a:tailEnd type="none" w="med" len="med"/>
        </a:ln>
        <a:effectLst/>
      </xdr:spPr>
    </xdr:pic>
    <xdr:clientData/>
  </xdr:twoCellAnchor>
  <xdr:twoCellAnchor>
    <xdr:from>
      <xdr:col>3</xdr:col>
      <xdr:colOff>1</xdr:colOff>
      <xdr:row>3</xdr:row>
      <xdr:rowOff>0</xdr:rowOff>
    </xdr:from>
    <xdr:to>
      <xdr:col>4</xdr:col>
      <xdr:colOff>0</xdr:colOff>
      <xdr:row>6</xdr:row>
      <xdr:rowOff>0</xdr:rowOff>
    </xdr:to>
    <xdr:grpSp>
      <xdr:nvGrpSpPr>
        <xdr:cNvPr id="4" name="Group 3"/>
        <xdr:cNvGrpSpPr/>
      </xdr:nvGrpSpPr>
      <xdr:grpSpPr>
        <a:xfrm>
          <a:off x="3943350" y="713105"/>
          <a:ext cx="1343025" cy="651510"/>
          <a:chOff x="0" y="0"/>
          <a:chExt cx="20000" cy="20000"/>
        </a:xfrm>
      </xdr:grpSpPr>
      <xdr:sp>
        <xdr:nvSpPr>
          <xdr:cNvPr id="5" name="Freeform 5"/>
          <xdr:cNvSpPr/>
        </xdr:nvSpPr>
        <xdr:spPr>
          <a:xfrm>
            <a:off x="0" y="0"/>
            <a:ext cx="20000" cy="20000"/>
          </a:xfrm>
          <a:custGeom>
            <a:avLst/>
            <a:gdLst>
              <a:gd name="T0" fmla="*/ 215 w 20000"/>
              <a:gd name="T1" fmla="*/ 0 h 20000"/>
              <a:gd name="T2" fmla="*/ 19989 w 20000"/>
              <a:gd name="T3" fmla="*/ 0 h 20000"/>
              <a:gd name="T4" fmla="*/ 16550 w 20000"/>
              <a:gd name="T5" fmla="*/ 19984 h 20000"/>
              <a:gd name="T6" fmla="*/ 4514 w 20000"/>
              <a:gd name="T7" fmla="*/ 19984 h 20000"/>
              <a:gd name="T8" fmla="*/ 0 w 20000"/>
              <a:gd name="T9" fmla="*/ 0 h 20000"/>
              <a:gd name="T10" fmla="*/ 0 60000 65536"/>
              <a:gd name="T11" fmla="*/ 0 60000 65536"/>
              <a:gd name="T12" fmla="*/ 0 60000 65536"/>
              <a:gd name="T13" fmla="*/ 0 60000 65536"/>
              <a:gd name="T14" fmla="*/ 0 60000 65536"/>
            </a:gdLst>
            <a:ahLst/>
            <a:cxnLst>
              <a:cxn ang="T10">
                <a:pos x="T0" y="T1"/>
              </a:cxn>
              <a:cxn ang="T11">
                <a:pos x="T2" y="T3"/>
              </a:cxn>
              <a:cxn ang="T12">
                <a:pos x="T4" y="T5"/>
              </a:cxn>
              <a:cxn ang="T13">
                <a:pos x="T6" y="T7"/>
              </a:cxn>
              <a:cxn ang="T14">
                <a:pos x="T8" y="T9"/>
              </a:cxn>
            </a:cxnLst>
            <a:rect l="0" t="0" r="r" b="b"/>
            <a:pathLst>
              <a:path w="20000" h="20000">
                <a:moveTo>
                  <a:pt x="215" y="0"/>
                </a:moveTo>
                <a:lnTo>
                  <a:pt x="19989" y="0"/>
                </a:lnTo>
                <a:lnTo>
                  <a:pt x="16550" y="19984"/>
                </a:lnTo>
                <a:lnTo>
                  <a:pt x="4514" y="19984"/>
                </a:lnTo>
                <a:lnTo>
                  <a:pt x="0" y="0"/>
                </a:lnTo>
              </a:path>
            </a:pathLst>
          </a:custGeom>
          <a:solidFill>
            <a:srgbClr val="FF0000"/>
          </a:solidFill>
          <a:ln w="9525" cap="flat" cmpd="sng">
            <a:solidFill>
              <a:srgbClr val="000000"/>
            </a:solidFill>
            <a:round/>
          </a:ln>
          <a:effectLst/>
        </xdr:spPr>
        <xdr:txBody>
          <a:bodyPr wrap="square"/>
          <a:lstStyle>
            <a:defPPr>
              <a:defRPr lang="zh-CN"/>
            </a:defPPr>
            <a:lvl1pPr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1pPr>
            <a:lvl2pPr marL="4572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2pPr>
            <a:lvl3pPr marL="9144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3pPr>
            <a:lvl4pPr marL="13716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4pPr>
            <a:lvl5pPr marL="18288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5pPr>
            <a:lvl6pPr marL="22860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6pPr>
            <a:lvl7pPr marL="27432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7pPr>
            <a:lvl8pPr marL="32004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8pPr>
            <a:lvl9pPr marL="36576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9pPr>
          </a:lstStyle>
          <a:p>
            <a:endParaRPr lang="zh-CN" altLang="en-US"/>
          </a:p>
        </xdr:txBody>
      </xdr:sp>
      <xdr:sp>
        <xdr:nvSpPr>
          <xdr:cNvPr id="6" name="Freeform 6"/>
          <xdr:cNvSpPr/>
        </xdr:nvSpPr>
        <xdr:spPr>
          <a:xfrm>
            <a:off x="1075" y="4441"/>
            <a:ext cx="14411" cy="15242"/>
          </a:xfrm>
          <a:custGeom>
            <a:avLst/>
            <a:gdLst>
              <a:gd name="T0" fmla="*/ 215 w 20000"/>
              <a:gd name="T1" fmla="*/ 0 h 20000"/>
              <a:gd name="T2" fmla="*/ 14400 w 20000"/>
              <a:gd name="T3" fmla="*/ 0 h 20000"/>
              <a:gd name="T4" fmla="*/ 11821 w 20000"/>
              <a:gd name="T5" fmla="*/ 15226 h 20000"/>
              <a:gd name="T6" fmla="*/ 3439 w 20000"/>
              <a:gd name="T7" fmla="*/ 15226 h 20000"/>
              <a:gd name="T8" fmla="*/ 0 w 20000"/>
              <a:gd name="T9" fmla="*/ 0 h 20000"/>
              <a:gd name="T10" fmla="*/ 0 60000 65536"/>
              <a:gd name="T11" fmla="*/ 0 60000 65536"/>
              <a:gd name="T12" fmla="*/ 0 60000 65536"/>
              <a:gd name="T13" fmla="*/ 0 60000 65536"/>
              <a:gd name="T14" fmla="*/ 0 60000 65536"/>
            </a:gdLst>
            <a:ahLst/>
            <a:cxnLst>
              <a:cxn ang="T10">
                <a:pos x="T0" y="T1"/>
              </a:cxn>
              <a:cxn ang="T11">
                <a:pos x="T2" y="T3"/>
              </a:cxn>
              <a:cxn ang="T12">
                <a:pos x="T4" y="T5"/>
              </a:cxn>
              <a:cxn ang="T13">
                <a:pos x="T6" y="T7"/>
              </a:cxn>
              <a:cxn ang="T14">
                <a:pos x="T8" y="T9"/>
              </a:cxn>
            </a:cxnLst>
            <a:rect l="0" t="0" r="r" b="b"/>
            <a:pathLst>
              <a:path w="20000" h="20000">
                <a:moveTo>
                  <a:pt x="298" y="0"/>
                </a:moveTo>
                <a:lnTo>
                  <a:pt x="19985" y="0"/>
                </a:lnTo>
                <a:lnTo>
                  <a:pt x="16406" y="19979"/>
                </a:lnTo>
                <a:lnTo>
                  <a:pt x="4773" y="19979"/>
                </a:lnTo>
                <a:lnTo>
                  <a:pt x="0" y="0"/>
                </a:lnTo>
              </a:path>
            </a:pathLst>
          </a:custGeom>
          <a:solidFill>
            <a:srgbClr val="FFFF00"/>
          </a:solidFill>
          <a:ln w="9525" cap="flat" cmpd="sng">
            <a:solidFill>
              <a:srgbClr val="000000"/>
            </a:solidFill>
            <a:round/>
          </a:ln>
          <a:effectLst/>
        </xdr:spPr>
        <xdr:txBody>
          <a:bodyPr wrap="square"/>
          <a:lstStyle>
            <a:defPPr>
              <a:defRPr lang="zh-CN"/>
            </a:defPPr>
            <a:lvl1pPr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1pPr>
            <a:lvl2pPr marL="4572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2pPr>
            <a:lvl3pPr marL="9144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3pPr>
            <a:lvl4pPr marL="13716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4pPr>
            <a:lvl5pPr marL="18288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5pPr>
            <a:lvl6pPr marL="22860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6pPr>
            <a:lvl7pPr marL="27432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7pPr>
            <a:lvl8pPr marL="32004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8pPr>
            <a:lvl9pPr marL="36576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9pPr>
          </a:lstStyle>
          <a:p>
            <a:endParaRPr lang="zh-CN" altLang="en-US"/>
          </a:p>
        </xdr:txBody>
      </xdr:sp>
      <xdr:sp>
        <xdr:nvSpPr>
          <xdr:cNvPr id="7" name="Freeform 7"/>
          <xdr:cNvSpPr/>
        </xdr:nvSpPr>
        <xdr:spPr>
          <a:xfrm>
            <a:off x="2364" y="9833"/>
            <a:ext cx="9253" cy="10167"/>
          </a:xfrm>
          <a:custGeom>
            <a:avLst/>
            <a:gdLst>
              <a:gd name="T0" fmla="*/ 0 w 20000"/>
              <a:gd name="T1" fmla="*/ 0 h 20000"/>
              <a:gd name="T2" fmla="*/ 9242 w 20000"/>
              <a:gd name="T3" fmla="*/ 0 h 20000"/>
              <a:gd name="T4" fmla="*/ 7738 w 20000"/>
              <a:gd name="T5" fmla="*/ 10151 h 20000"/>
              <a:gd name="T6" fmla="*/ 2149 w 20000"/>
              <a:gd name="T7" fmla="*/ 10151 h 20000"/>
              <a:gd name="T8" fmla="*/ 0 w 20000"/>
              <a:gd name="T9" fmla="*/ 0 h 20000"/>
              <a:gd name="T10" fmla="*/ 0 60000 65536"/>
              <a:gd name="T11" fmla="*/ 0 60000 65536"/>
              <a:gd name="T12" fmla="*/ 0 60000 65536"/>
              <a:gd name="T13" fmla="*/ 0 60000 65536"/>
              <a:gd name="T14" fmla="*/ 0 60000 65536"/>
            </a:gdLst>
            <a:ahLst/>
            <a:cxnLst>
              <a:cxn ang="T10">
                <a:pos x="T0" y="T1"/>
              </a:cxn>
              <a:cxn ang="T11">
                <a:pos x="T2" y="T3"/>
              </a:cxn>
              <a:cxn ang="T12">
                <a:pos x="T4" y="T5"/>
              </a:cxn>
              <a:cxn ang="T13">
                <a:pos x="T6" y="T7"/>
              </a:cxn>
              <a:cxn ang="T14">
                <a:pos x="T8" y="T9"/>
              </a:cxn>
            </a:cxnLst>
            <a:rect l="0" t="0" r="r" b="b"/>
            <a:pathLst>
              <a:path w="20000" h="20000">
                <a:moveTo>
                  <a:pt x="0" y="0"/>
                </a:moveTo>
                <a:lnTo>
                  <a:pt x="19977" y="0"/>
                </a:lnTo>
                <a:lnTo>
                  <a:pt x="16725" y="19969"/>
                </a:lnTo>
                <a:lnTo>
                  <a:pt x="4646" y="19969"/>
                </a:lnTo>
                <a:lnTo>
                  <a:pt x="0" y="0"/>
                </a:lnTo>
                <a:close/>
              </a:path>
            </a:pathLst>
          </a:custGeom>
          <a:solidFill>
            <a:srgbClr val="00FF00"/>
          </a:solidFill>
          <a:ln w="9525" cap="flat" cmpd="sng">
            <a:solidFill>
              <a:srgbClr val="000000"/>
            </a:solidFill>
            <a:round/>
          </a:ln>
          <a:effectLst/>
        </xdr:spPr>
        <xdr:txBody>
          <a:bodyPr wrap="square"/>
          <a:lstStyle>
            <a:defPPr>
              <a:defRPr lang="zh-CN"/>
            </a:defPPr>
            <a:lvl1pPr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1pPr>
            <a:lvl2pPr marL="4572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2pPr>
            <a:lvl3pPr marL="9144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3pPr>
            <a:lvl4pPr marL="13716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4pPr>
            <a:lvl5pPr marL="18288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5pPr>
            <a:lvl6pPr marL="22860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6pPr>
            <a:lvl7pPr marL="27432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7pPr>
            <a:lvl8pPr marL="32004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8pPr>
            <a:lvl9pPr marL="36576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9pPr>
          </a:lstStyle>
          <a:p>
            <a:endParaRPr lang="zh-CN" altLang="en-US"/>
          </a:p>
        </xdr:txBody>
      </xdr:sp>
      <xdr:sp>
        <xdr:nvSpPr>
          <xdr:cNvPr id="8" name="Freeform 8"/>
          <xdr:cNvSpPr/>
        </xdr:nvSpPr>
        <xdr:spPr>
          <a:xfrm>
            <a:off x="3224" y="13957"/>
            <a:ext cx="5384" cy="6043"/>
          </a:xfrm>
          <a:custGeom>
            <a:avLst/>
            <a:gdLst>
              <a:gd name="T0" fmla="*/ 0 w 20000"/>
              <a:gd name="T1" fmla="*/ 0 h 20000"/>
              <a:gd name="T2" fmla="*/ 5373 w 20000"/>
              <a:gd name="T3" fmla="*/ 0 h 20000"/>
              <a:gd name="T4" fmla="*/ 4513 w 20000"/>
              <a:gd name="T5" fmla="*/ 6027 h 20000"/>
              <a:gd name="T6" fmla="*/ 1289 w 20000"/>
              <a:gd name="T7" fmla="*/ 6027 h 20000"/>
              <a:gd name="T8" fmla="*/ 0 w 20000"/>
              <a:gd name="T9" fmla="*/ 317 h 20000"/>
              <a:gd name="T10" fmla="*/ 0 60000 65536"/>
              <a:gd name="T11" fmla="*/ 0 60000 65536"/>
              <a:gd name="T12" fmla="*/ 0 60000 65536"/>
              <a:gd name="T13" fmla="*/ 0 60000 65536"/>
              <a:gd name="T14" fmla="*/ 0 60000 65536"/>
            </a:gdLst>
            <a:ahLst/>
            <a:cxnLst>
              <a:cxn ang="T10">
                <a:pos x="T0" y="T1"/>
              </a:cxn>
              <a:cxn ang="T11">
                <a:pos x="T2" y="T3"/>
              </a:cxn>
              <a:cxn ang="T12">
                <a:pos x="T4" y="T5"/>
              </a:cxn>
              <a:cxn ang="T13">
                <a:pos x="T6" y="T7"/>
              </a:cxn>
              <a:cxn ang="T14">
                <a:pos x="T8" y="T9"/>
              </a:cxn>
            </a:cxnLst>
            <a:rect l="0" t="0" r="r" b="b"/>
            <a:pathLst>
              <a:path w="20000" h="20000">
                <a:moveTo>
                  <a:pt x="0" y="0"/>
                </a:moveTo>
                <a:lnTo>
                  <a:pt x="19960" y="0"/>
                </a:lnTo>
                <a:lnTo>
                  <a:pt x="16766" y="19948"/>
                </a:lnTo>
                <a:lnTo>
                  <a:pt x="4790" y="19948"/>
                </a:lnTo>
                <a:lnTo>
                  <a:pt x="0" y="1050"/>
                </a:lnTo>
              </a:path>
            </a:pathLst>
          </a:custGeom>
          <a:solidFill>
            <a:srgbClr val="00FFFF"/>
          </a:solidFill>
          <a:ln w="9525" cap="flat" cmpd="sng">
            <a:solidFill>
              <a:srgbClr val="000000"/>
            </a:solidFill>
            <a:round/>
          </a:ln>
          <a:effectLst/>
        </xdr:spPr>
        <xdr:txBody>
          <a:bodyPr wrap="square"/>
          <a:lstStyle>
            <a:defPPr>
              <a:defRPr lang="zh-CN"/>
            </a:defPPr>
            <a:lvl1pPr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1pPr>
            <a:lvl2pPr marL="4572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2pPr>
            <a:lvl3pPr marL="9144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3pPr>
            <a:lvl4pPr marL="13716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4pPr>
            <a:lvl5pPr marL="18288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5pPr>
            <a:lvl6pPr marL="22860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6pPr>
            <a:lvl7pPr marL="27432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7pPr>
            <a:lvl8pPr marL="32004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8pPr>
            <a:lvl9pPr marL="36576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9pPr>
          </a:lstStyle>
          <a:p>
            <a:endParaRPr lang="zh-CN" altLang="en-US"/>
          </a:p>
        </xdr:txBody>
      </xdr:sp>
      <xdr:sp>
        <xdr:nvSpPr>
          <xdr:cNvPr id="9" name="Rectangle 9"/>
          <xdr:cNvSpPr>
            <a:spLocks noChangeArrowheads="1"/>
          </xdr:cNvSpPr>
        </xdr:nvSpPr>
        <xdr:spPr>
          <a:xfrm>
            <a:off x="8598" y="10178"/>
            <a:ext cx="3019" cy="4096"/>
          </a:xfrm>
          <a:prstGeom prst="rect">
            <a:avLst/>
          </a:prstGeom>
          <a:noFill/>
          <a:ln w="9525">
            <a:noFill/>
            <a:miter lim="800000"/>
          </a:ln>
          <a:effectLst/>
        </xdr:spPr>
        <xdr:txBody>
          <a:bodyPr wrap="square" lIns="12700" tIns="12700" rIns="12700" bIns="12700"/>
          <a:lstStyle>
            <a:defPPr>
              <a:defRPr lang="zh-CN"/>
            </a:defPPr>
            <a:lvl1pPr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1pPr>
            <a:lvl2pPr marL="4572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2pPr>
            <a:lvl3pPr marL="9144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3pPr>
            <a:lvl4pPr marL="13716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4pPr>
            <a:lvl5pPr marL="18288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5pPr>
            <a:lvl6pPr marL="22860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6pPr>
            <a:lvl7pPr marL="27432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7pPr>
            <a:lvl8pPr marL="32004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8pPr>
            <a:lvl9pPr marL="36576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9pPr>
          </a:lstStyle>
          <a:p>
            <a:pPr algn="just"/>
            <a:r>
              <a:rPr lang="en-US" altLang="zh-CN" sz="1400" baseline="0"/>
              <a:t>Z</a:t>
            </a:r>
            <a:endParaRPr lang="en-US" altLang="zh-CN" sz="1400" baseline="0"/>
          </a:p>
        </xdr:txBody>
      </xdr:sp>
      <xdr:sp>
        <xdr:nvSpPr>
          <xdr:cNvPr id="10" name="Rectangle 10"/>
          <xdr:cNvSpPr>
            <a:spLocks noChangeArrowheads="1"/>
          </xdr:cNvSpPr>
        </xdr:nvSpPr>
        <xdr:spPr>
          <a:xfrm>
            <a:off x="12519" y="5680"/>
            <a:ext cx="2752" cy="4153"/>
          </a:xfrm>
          <a:prstGeom prst="rect">
            <a:avLst/>
          </a:prstGeom>
          <a:noFill/>
          <a:ln w="9525">
            <a:noFill/>
            <a:miter lim="800000"/>
          </a:ln>
          <a:effectLst/>
        </xdr:spPr>
        <xdr:txBody>
          <a:bodyPr wrap="square" lIns="12700" tIns="12700" rIns="12700" bIns="12700"/>
          <a:lstStyle>
            <a:defPPr>
              <a:defRPr lang="zh-CN"/>
            </a:defPPr>
            <a:lvl1pPr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1pPr>
            <a:lvl2pPr marL="4572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2pPr>
            <a:lvl3pPr marL="9144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3pPr>
            <a:lvl4pPr marL="13716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4pPr>
            <a:lvl5pPr marL="18288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5pPr>
            <a:lvl6pPr marL="22860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6pPr>
            <a:lvl7pPr marL="27432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7pPr>
            <a:lvl8pPr marL="32004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8pPr>
            <a:lvl9pPr marL="36576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9pPr>
          </a:lstStyle>
          <a:p>
            <a:pPr algn="just"/>
            <a:r>
              <a:rPr lang="en-US" altLang="zh-CN" sz="1400"/>
              <a:t>A</a:t>
            </a:r>
            <a:endParaRPr lang="en-US" altLang="zh-CN" sz="1400"/>
          </a:p>
        </xdr:txBody>
      </xdr:sp>
      <xdr:sp>
        <xdr:nvSpPr>
          <xdr:cNvPr id="11" name="Rectangle 11"/>
          <xdr:cNvSpPr>
            <a:spLocks noChangeArrowheads="1"/>
          </xdr:cNvSpPr>
        </xdr:nvSpPr>
        <xdr:spPr>
          <a:xfrm>
            <a:off x="5261" y="13393"/>
            <a:ext cx="3019" cy="4920"/>
          </a:xfrm>
          <a:prstGeom prst="rect">
            <a:avLst/>
          </a:prstGeom>
          <a:noFill/>
          <a:ln w="9525">
            <a:noFill/>
            <a:miter lim="800000"/>
          </a:ln>
          <a:effectLst/>
        </xdr:spPr>
        <xdr:txBody>
          <a:bodyPr wrap="square" lIns="12700" tIns="12700" rIns="12700" bIns="12700"/>
          <a:lstStyle>
            <a:defPPr>
              <a:defRPr lang="zh-CN"/>
            </a:defPPr>
            <a:lvl1pPr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1pPr>
            <a:lvl2pPr marL="4572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2pPr>
            <a:lvl3pPr marL="9144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3pPr>
            <a:lvl4pPr marL="13716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4pPr>
            <a:lvl5pPr marL="1828800" algn="l" rtl="0" eaLnBrk="0" fontAlgn="base" hangingPunct="0">
              <a:spcBef>
                <a:spcPct val="0"/>
              </a:spcBef>
              <a:spcAft>
                <a:spcPct val="0"/>
              </a:spcAft>
              <a:defRPr sz="2400" kern="1200">
                <a:solidFill>
                  <a:schemeClr val="tx1"/>
                </a:solidFill>
                <a:latin typeface="Times New Roman" panose="02020603050405020304" pitchFamily="18" charset="0"/>
                <a:ea typeface="宋体" panose="02010600030101010101" pitchFamily="7" charset="-122"/>
                <a:cs typeface="+mn-cs"/>
              </a:defRPr>
            </a:lvl5pPr>
            <a:lvl6pPr marL="22860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6pPr>
            <a:lvl7pPr marL="27432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7pPr>
            <a:lvl8pPr marL="32004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8pPr>
            <a:lvl9pPr marL="3657600" algn="l" defTabSz="914400" rtl="0" eaLnBrk="1" latinLnBrk="0" hangingPunct="1">
              <a:defRPr sz="2400" kern="1200">
                <a:solidFill>
                  <a:schemeClr val="tx1"/>
                </a:solidFill>
                <a:latin typeface="Times New Roman" panose="02020603050405020304" pitchFamily="18" charset="0"/>
                <a:ea typeface="宋体" panose="02010600030101010101" pitchFamily="7" charset="-122"/>
                <a:cs typeface="+mn-cs"/>
              </a:defRPr>
            </a:lvl9pPr>
          </a:lstStyle>
          <a:p>
            <a:pPr algn="just"/>
            <a:r>
              <a:rPr lang="en-US" altLang="zh-CN" sz="1400" baseline="0"/>
              <a:t>Y</a:t>
            </a:r>
            <a:endParaRPr lang="en-US" altLang="zh-CN" sz="1400" baseline="0"/>
          </a:p>
        </xdr:txBody>
      </xdr:sp>
    </xdr:grpSp>
    <xdr:clientData/>
  </xdr:twoCellAnchor>
  <xdr:twoCellAnchor editAs="oneCell">
    <xdr:from>
      <xdr:col>0</xdr:col>
      <xdr:colOff>2</xdr:colOff>
      <xdr:row>57</xdr:row>
      <xdr:rowOff>43922</xdr:rowOff>
    </xdr:from>
    <xdr:to>
      <xdr:col>3</xdr:col>
      <xdr:colOff>1323975</xdr:colOff>
      <xdr:row>85</xdr:row>
      <xdr:rowOff>19051</xdr:rowOff>
    </xdr:to>
    <xdr:pic>
      <xdr:nvPicPr>
        <xdr:cNvPr id="13" name="Picture 22"/>
        <xdr:cNvPicPr>
          <a:picLocks noChangeAspect="1" noChangeArrowheads="1"/>
        </xdr:cNvPicPr>
      </xdr:nvPicPr>
      <xdr:blipFill>
        <a:blip r:embed="rId3" cstate="print"/>
        <a:srcRect/>
        <a:stretch>
          <a:fillRect/>
        </a:stretch>
      </xdr:blipFill>
      <xdr:spPr>
        <a:xfrm>
          <a:off x="0" y="10967720"/>
          <a:ext cx="5267325" cy="5311140"/>
        </a:xfrm>
        <a:prstGeom prst="rect">
          <a:avLst/>
        </a:prstGeom>
        <a:noFill/>
        <a:ln w="1">
          <a:noFill/>
          <a:miter lim="800000"/>
          <a:headEnd/>
          <a:tailEnd type="none" w="med" len="med"/>
        </a:ln>
        <a:effectLst/>
      </xdr:spPr>
    </xdr:pic>
    <xdr:clientData/>
  </xdr:twoCellAnchor>
  <xdr:twoCellAnchor editAs="oneCell">
    <xdr:from>
      <xdr:col>0</xdr:col>
      <xdr:colOff>0</xdr:colOff>
      <xdr:row>41</xdr:row>
      <xdr:rowOff>1</xdr:rowOff>
    </xdr:from>
    <xdr:to>
      <xdr:col>4</xdr:col>
      <xdr:colOff>0</xdr:colOff>
      <xdr:row>57</xdr:row>
      <xdr:rowOff>9525</xdr:rowOff>
    </xdr:to>
    <xdr:pic>
      <xdr:nvPicPr>
        <xdr:cNvPr id="7176" name="Picture 8"/>
        <xdr:cNvPicPr>
          <a:picLocks noChangeAspect="1" noChangeArrowheads="1"/>
        </xdr:cNvPicPr>
      </xdr:nvPicPr>
      <xdr:blipFill>
        <a:blip r:embed="rId4" cstate="print"/>
        <a:srcRect/>
        <a:stretch>
          <a:fillRect/>
        </a:stretch>
      </xdr:blipFill>
      <xdr:spPr>
        <a:xfrm>
          <a:off x="0" y="8066405"/>
          <a:ext cx="5286375" cy="2867025"/>
        </a:xfrm>
        <a:prstGeom prst="rect">
          <a:avLst/>
        </a:prstGeom>
        <a:noFill/>
        <a:ln w="1">
          <a:noFill/>
          <a:miter lim="800000"/>
          <a:headEnd/>
          <a:tailEnd type="none" w="med" len="med"/>
        </a:ln>
        <a:effectLst/>
      </xdr:spPr>
    </xdr:pic>
    <xdr:clientData/>
  </xdr:twoCellAnchor>
  <xdr:twoCellAnchor>
    <xdr:from>
      <xdr:col>0</xdr:col>
      <xdr:colOff>19050</xdr:colOff>
      <xdr:row>0</xdr:row>
      <xdr:rowOff>19050</xdr:rowOff>
    </xdr:from>
    <xdr:to>
      <xdr:col>0</xdr:col>
      <xdr:colOff>828676</xdr:colOff>
      <xdr:row>0</xdr:row>
      <xdr:rowOff>257175</xdr:rowOff>
    </xdr:to>
    <xdr:sp>
      <xdr:nvSpPr>
        <xdr:cNvPr id="14" name="五边形 13">
          <a:hlinkClick xmlns:r="http://schemas.openxmlformats.org/officeDocument/2006/relationships" r:id="rId5"/>
        </xdr:cNvPr>
        <xdr:cNvSpPr/>
      </xdr:nvSpPr>
      <xdr:spPr>
        <a:xfrm flipH="1">
          <a:off x="19050" y="19050"/>
          <a:ext cx="809625" cy="238125"/>
        </a:xfrm>
        <a:prstGeom prst="homePlate">
          <a:avLst/>
        </a:prstGeom>
      </xdr:spPr>
      <xdr:style>
        <a:lnRef idx="1">
          <a:schemeClr val="accent6"/>
        </a:lnRef>
        <a:fillRef idx="2">
          <a:schemeClr val="accent6"/>
        </a:fillRef>
        <a:effectRef idx="1">
          <a:schemeClr val="accent6"/>
        </a:effectRef>
        <a:fontRef idx="minor">
          <a:schemeClr val="dk1"/>
        </a:fontRef>
      </xdr:style>
      <xdr:txBody>
        <a:bodyPr vertOverflow="clip" rtlCol="0" anchor="ctr"/>
        <a:lstStyle/>
        <a:p>
          <a:pPr algn="ctr"/>
          <a:r>
            <a:rPr lang="zh-CN" altLang="en-US" sz="1100">
              <a:latin typeface="时尚中黑简体" panose="01010104010101010101" pitchFamily="2" charset="-122"/>
              <a:ea typeface="时尚中黑简体" panose="01010104010101010101" pitchFamily="2" charset="-122"/>
            </a:rPr>
            <a:t>返回目录</a:t>
          </a:r>
          <a:endParaRPr lang="zh-CN" altLang="en-US" sz="1100">
            <a:latin typeface="时尚中黑简体" panose="01010104010101010101" pitchFamily="2" charset="-122"/>
            <a:ea typeface="时尚中黑简体" panose="01010104010101010101" pitchFamily="2" charset="-122"/>
          </a:endParaRPr>
        </a:p>
      </xdr:txBody>
    </xdr:sp>
    <xdr:clientData/>
  </xdr:twoCellAnchor>
  <mc:AlternateContent xmlns:mc="http://schemas.openxmlformats.org/markup-compatibility/2006">
    <mc:Choice xmlns:a14="http://schemas.microsoft.com/office/drawing/2010/main" Requires="a14">
      <xdr:twoCellAnchor>
        <xdr:from>
          <xdr:col>13</xdr:col>
          <xdr:colOff>160020</xdr:colOff>
          <xdr:row>14</xdr:row>
          <xdr:rowOff>160020</xdr:rowOff>
        </xdr:from>
        <xdr:to>
          <xdr:col>22</xdr:col>
          <xdr:colOff>22860</xdr:colOff>
          <xdr:row>37</xdr:row>
          <xdr:rowOff>22860</xdr:rowOff>
        </xdr:to>
        <xdr:sp>
          <xdr:nvSpPr>
            <xdr:cNvPr id="7169" name="对象 19457" hidden="1">
              <a:extLst>
                <a:ext uri="{63B3BB69-23CF-44E3-9099-C40C66FF867C}">
                  <a14:compatExt spid="_x0000_s7169"/>
                </a:ext>
              </a:extLst>
            </xdr:cNvPr>
            <xdr:cNvSpPr/>
          </xdr:nvSpPr>
          <xdr:spPr>
            <a:xfrm>
              <a:off x="11132820" y="3261995"/>
              <a:ext cx="5777865" cy="4109085"/>
            </a:xfrm>
            <a:prstGeom prst="rect">
              <a:avLst/>
            </a:prstGeom>
          </xdr:spPr>
        </xdr:sp>
        <xdr:clientData/>
      </xdr:twoCellAnchor>
    </mc:Choice>
    <mc:Fallback/>
  </mc:AlternateContent>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10.xml"/><Relationship Id="rId1" Type="http://schemas.openxmlformats.org/officeDocument/2006/relationships/comments" Target="../comments6.xml"/></Relationships>
</file>

<file path=xl/worksheets/_rels/sheet11.xml.rels><?xml version="1.0" encoding="UTF-8" standalone="yes"?>
<Relationships xmlns="http://schemas.openxmlformats.org/package/2006/relationships"><Relationship Id="rId5" Type="http://schemas.openxmlformats.org/officeDocument/2006/relationships/image" Target="../media/image75.emf"/><Relationship Id="rId4" Type="http://schemas.openxmlformats.org/officeDocument/2006/relationships/oleObject" Target="../embeddings/oleObject35.bin"/><Relationship Id="rId3" Type="http://schemas.openxmlformats.org/officeDocument/2006/relationships/vmlDrawing" Target="../drawings/vmlDrawing8.vml"/><Relationship Id="rId2" Type="http://schemas.openxmlformats.org/officeDocument/2006/relationships/drawing" Target="../drawings/drawing11.xml"/><Relationship Id="rId1" Type="http://schemas.openxmlformats.org/officeDocument/2006/relationships/comments" Target="../comments7.xml"/></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12.xml"/><Relationship Id="rId1" Type="http://schemas.openxmlformats.org/officeDocument/2006/relationships/comments" Target="../comments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9" Type="http://schemas.openxmlformats.org/officeDocument/2006/relationships/oleObject" Target="../embeddings/oleObject39.bin"/><Relationship Id="rId8" Type="http://schemas.openxmlformats.org/officeDocument/2006/relationships/image" Target="../media/image229.emf"/><Relationship Id="rId7" Type="http://schemas.openxmlformats.org/officeDocument/2006/relationships/oleObject" Target="../embeddings/oleObject38.bin"/><Relationship Id="rId6" Type="http://schemas.openxmlformats.org/officeDocument/2006/relationships/image" Target="../media/image228.emf"/><Relationship Id="rId5" Type="http://schemas.openxmlformats.org/officeDocument/2006/relationships/oleObject" Target="../embeddings/oleObject37.bin"/><Relationship Id="rId4" Type="http://schemas.openxmlformats.org/officeDocument/2006/relationships/image" Target="../media/image227.emf"/><Relationship Id="rId3" Type="http://schemas.openxmlformats.org/officeDocument/2006/relationships/oleObject" Target="../embeddings/oleObject36.bin"/><Relationship Id="rId2" Type="http://schemas.openxmlformats.org/officeDocument/2006/relationships/vmlDrawing" Target="../drawings/vmlDrawing10.vml"/><Relationship Id="rId14" Type="http://schemas.openxmlformats.org/officeDocument/2006/relationships/image" Target="../media/image232.emf"/><Relationship Id="rId13" Type="http://schemas.openxmlformats.org/officeDocument/2006/relationships/oleObject" Target="../embeddings/oleObject41.bin"/><Relationship Id="rId12" Type="http://schemas.openxmlformats.org/officeDocument/2006/relationships/image" Target="../media/image231.emf"/><Relationship Id="rId11" Type="http://schemas.openxmlformats.org/officeDocument/2006/relationships/oleObject" Target="../embeddings/oleObject40.bin"/><Relationship Id="rId10" Type="http://schemas.openxmlformats.org/officeDocument/2006/relationships/image" Target="../media/image230.emf"/><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24.xml"/><Relationship Id="rId1" Type="http://schemas.openxmlformats.org/officeDocument/2006/relationships/comments" Target="../comments9.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4" Type="http://schemas.openxmlformats.org/officeDocument/2006/relationships/image" Target="../media/image276.emf"/><Relationship Id="rId3" Type="http://schemas.openxmlformats.org/officeDocument/2006/relationships/oleObject" Target="../embeddings/oleObject42.bin"/><Relationship Id="rId2" Type="http://schemas.openxmlformats.org/officeDocument/2006/relationships/vmlDrawing" Target="../drawings/vmlDrawing12.vml"/><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9" Type="http://schemas.openxmlformats.org/officeDocument/2006/relationships/oleObject" Target="../embeddings/oleObject5.bin"/><Relationship Id="rId8" Type="http://schemas.openxmlformats.org/officeDocument/2006/relationships/oleObject" Target="../embeddings/oleObject4.bin"/><Relationship Id="rId7" Type="http://schemas.openxmlformats.org/officeDocument/2006/relationships/oleObject" Target="../embeddings/oleObject3.bin"/><Relationship Id="rId6" Type="http://schemas.openxmlformats.org/officeDocument/2006/relationships/image" Target="../media/image27.emf"/><Relationship Id="rId5" Type="http://schemas.openxmlformats.org/officeDocument/2006/relationships/oleObject" Target="../embeddings/oleObject2.bin"/><Relationship Id="rId4" Type="http://schemas.openxmlformats.org/officeDocument/2006/relationships/image" Target="../media/image26.emf"/><Relationship Id="rId3" Type="http://schemas.openxmlformats.org/officeDocument/2006/relationships/oleObject" Target="../embeddings/oleObject1.bin"/><Relationship Id="rId2" Type="http://schemas.openxmlformats.org/officeDocument/2006/relationships/vmlDrawing" Target="../drawings/vmlDrawing1.vml"/><Relationship Id="rId14" Type="http://schemas.openxmlformats.org/officeDocument/2006/relationships/oleObject" Target="../embeddings/oleObject9.bin"/><Relationship Id="rId13" Type="http://schemas.openxmlformats.org/officeDocument/2006/relationships/oleObject" Target="../embeddings/oleObject8.bin"/><Relationship Id="rId12" Type="http://schemas.openxmlformats.org/officeDocument/2006/relationships/image" Target="../media/image28.emf"/><Relationship Id="rId11" Type="http://schemas.openxmlformats.org/officeDocument/2006/relationships/oleObject" Target="../embeddings/oleObject7.bin"/><Relationship Id="rId10" Type="http://schemas.openxmlformats.org/officeDocument/2006/relationships/oleObject" Target="../embeddings/oleObject6.bin"/><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9" Type="http://schemas.openxmlformats.org/officeDocument/2006/relationships/oleObject" Target="../embeddings/oleObject46.bin"/><Relationship Id="rId8" Type="http://schemas.openxmlformats.org/officeDocument/2006/relationships/image" Target="../media/image347.emf"/><Relationship Id="rId7" Type="http://schemas.openxmlformats.org/officeDocument/2006/relationships/oleObject" Target="../embeddings/oleObject45.bin"/><Relationship Id="rId6" Type="http://schemas.openxmlformats.org/officeDocument/2006/relationships/image" Target="../media/image346.emf"/><Relationship Id="rId52" Type="http://schemas.openxmlformats.org/officeDocument/2006/relationships/image" Target="../media/image368.emf"/><Relationship Id="rId51" Type="http://schemas.openxmlformats.org/officeDocument/2006/relationships/oleObject" Target="../embeddings/oleObject68.bin"/><Relationship Id="rId50" Type="http://schemas.openxmlformats.org/officeDocument/2006/relationships/image" Target="../media/image367.emf"/><Relationship Id="rId5" Type="http://schemas.openxmlformats.org/officeDocument/2006/relationships/oleObject" Target="../embeddings/oleObject44.bin"/><Relationship Id="rId49" Type="http://schemas.openxmlformats.org/officeDocument/2006/relationships/oleObject" Target="../embeddings/oleObject67.bin"/><Relationship Id="rId48" Type="http://schemas.openxmlformats.org/officeDocument/2006/relationships/image" Target="../media/image366.emf"/><Relationship Id="rId47" Type="http://schemas.openxmlformats.org/officeDocument/2006/relationships/oleObject" Target="../embeddings/oleObject66.bin"/><Relationship Id="rId46" Type="http://schemas.openxmlformats.org/officeDocument/2006/relationships/image" Target="../media/image365.emf"/><Relationship Id="rId45" Type="http://schemas.openxmlformats.org/officeDocument/2006/relationships/oleObject" Target="../embeddings/oleObject65.bin"/><Relationship Id="rId44" Type="http://schemas.openxmlformats.org/officeDocument/2006/relationships/image" Target="../media/image364.emf"/><Relationship Id="rId43" Type="http://schemas.openxmlformats.org/officeDocument/2006/relationships/oleObject" Target="../embeddings/oleObject64.bin"/><Relationship Id="rId42" Type="http://schemas.openxmlformats.org/officeDocument/2006/relationships/image" Target="../media/image363.emf"/><Relationship Id="rId41" Type="http://schemas.openxmlformats.org/officeDocument/2006/relationships/oleObject" Target="../embeddings/oleObject63.bin"/><Relationship Id="rId40" Type="http://schemas.openxmlformats.org/officeDocument/2006/relationships/image" Target="../media/image362.emf"/><Relationship Id="rId4" Type="http://schemas.openxmlformats.org/officeDocument/2006/relationships/image" Target="../media/image345.emf"/><Relationship Id="rId39" Type="http://schemas.openxmlformats.org/officeDocument/2006/relationships/oleObject" Target="../embeddings/oleObject62.bin"/><Relationship Id="rId38" Type="http://schemas.openxmlformats.org/officeDocument/2006/relationships/image" Target="../media/image361.emf"/><Relationship Id="rId37" Type="http://schemas.openxmlformats.org/officeDocument/2006/relationships/oleObject" Target="../embeddings/oleObject61.bin"/><Relationship Id="rId36" Type="http://schemas.openxmlformats.org/officeDocument/2006/relationships/image" Target="../media/image360.emf"/><Relationship Id="rId35" Type="http://schemas.openxmlformats.org/officeDocument/2006/relationships/oleObject" Target="../embeddings/oleObject60.bin"/><Relationship Id="rId34" Type="http://schemas.openxmlformats.org/officeDocument/2006/relationships/image" Target="../media/image359.emf"/><Relationship Id="rId33" Type="http://schemas.openxmlformats.org/officeDocument/2006/relationships/oleObject" Target="../embeddings/oleObject59.bin"/><Relationship Id="rId32" Type="http://schemas.openxmlformats.org/officeDocument/2006/relationships/image" Target="../media/image358.emf"/><Relationship Id="rId31" Type="http://schemas.openxmlformats.org/officeDocument/2006/relationships/oleObject" Target="../embeddings/oleObject58.bin"/><Relationship Id="rId30" Type="http://schemas.openxmlformats.org/officeDocument/2006/relationships/image" Target="../media/image357.emf"/><Relationship Id="rId3" Type="http://schemas.openxmlformats.org/officeDocument/2006/relationships/oleObject" Target="../embeddings/oleObject43.bin"/><Relationship Id="rId29" Type="http://schemas.openxmlformats.org/officeDocument/2006/relationships/oleObject" Target="../embeddings/oleObject57.bin"/><Relationship Id="rId28" Type="http://schemas.openxmlformats.org/officeDocument/2006/relationships/image" Target="../media/image356.emf"/><Relationship Id="rId27" Type="http://schemas.openxmlformats.org/officeDocument/2006/relationships/oleObject" Target="../embeddings/oleObject56.bin"/><Relationship Id="rId26" Type="http://schemas.openxmlformats.org/officeDocument/2006/relationships/image" Target="../media/image355.emf"/><Relationship Id="rId25" Type="http://schemas.openxmlformats.org/officeDocument/2006/relationships/oleObject" Target="../embeddings/oleObject55.bin"/><Relationship Id="rId24" Type="http://schemas.openxmlformats.org/officeDocument/2006/relationships/oleObject" Target="../embeddings/oleObject54.bin"/><Relationship Id="rId23" Type="http://schemas.openxmlformats.org/officeDocument/2006/relationships/image" Target="../media/image354.emf"/><Relationship Id="rId22" Type="http://schemas.openxmlformats.org/officeDocument/2006/relationships/oleObject" Target="../embeddings/oleObject53.bin"/><Relationship Id="rId21" Type="http://schemas.openxmlformats.org/officeDocument/2006/relationships/image" Target="../media/image353.emf"/><Relationship Id="rId20" Type="http://schemas.openxmlformats.org/officeDocument/2006/relationships/oleObject" Target="../embeddings/oleObject52.bin"/><Relationship Id="rId2" Type="http://schemas.openxmlformats.org/officeDocument/2006/relationships/vmlDrawing" Target="../drawings/vmlDrawing13.vml"/><Relationship Id="rId19" Type="http://schemas.openxmlformats.org/officeDocument/2006/relationships/image" Target="../media/image352.emf"/><Relationship Id="rId18" Type="http://schemas.openxmlformats.org/officeDocument/2006/relationships/oleObject" Target="../embeddings/oleObject51.bin"/><Relationship Id="rId17" Type="http://schemas.openxmlformats.org/officeDocument/2006/relationships/image" Target="../media/image351.emf"/><Relationship Id="rId16" Type="http://schemas.openxmlformats.org/officeDocument/2006/relationships/oleObject" Target="../embeddings/oleObject50.bin"/><Relationship Id="rId15" Type="http://schemas.openxmlformats.org/officeDocument/2006/relationships/image" Target="../media/image350.emf"/><Relationship Id="rId14" Type="http://schemas.openxmlformats.org/officeDocument/2006/relationships/oleObject" Target="../embeddings/oleObject49.bin"/><Relationship Id="rId13" Type="http://schemas.openxmlformats.org/officeDocument/2006/relationships/image" Target="../media/image349.emf"/><Relationship Id="rId12" Type="http://schemas.openxmlformats.org/officeDocument/2006/relationships/oleObject" Target="../embeddings/oleObject48.bin"/><Relationship Id="rId11" Type="http://schemas.openxmlformats.org/officeDocument/2006/relationships/oleObject" Target="../embeddings/oleObject47.bin"/><Relationship Id="rId10" Type="http://schemas.openxmlformats.org/officeDocument/2006/relationships/image" Target="../media/image348.emf"/><Relationship Id="rId1" Type="http://schemas.openxmlformats.org/officeDocument/2006/relationships/drawing" Target="../drawings/drawing35.xml"/></Relationships>
</file>

<file path=xl/worksheets/_rels/sheet4.xml.rels><?xml version="1.0" encoding="UTF-8" standalone="yes"?>
<Relationships xmlns="http://schemas.openxmlformats.org/package/2006/relationships"><Relationship Id="rId9" Type="http://schemas.openxmlformats.org/officeDocument/2006/relationships/oleObject" Target="../embeddings/oleObject13.bin"/><Relationship Id="rId8" Type="http://schemas.openxmlformats.org/officeDocument/2006/relationships/oleObject" Target="../embeddings/oleObject12.bin"/><Relationship Id="rId7" Type="http://schemas.openxmlformats.org/officeDocument/2006/relationships/image" Target="../media/image40.emf"/><Relationship Id="rId6" Type="http://schemas.openxmlformats.org/officeDocument/2006/relationships/oleObject" Target="../embeddings/oleObject11.bin"/><Relationship Id="rId5" Type="http://schemas.openxmlformats.org/officeDocument/2006/relationships/image" Target="../media/image39.emf"/><Relationship Id="rId4" Type="http://schemas.openxmlformats.org/officeDocument/2006/relationships/oleObject" Target="../embeddings/oleObject10.bin"/><Relationship Id="rId3" Type="http://schemas.openxmlformats.org/officeDocument/2006/relationships/vmlDrawing" Target="../drawings/vmlDrawing2.vml"/><Relationship Id="rId23" Type="http://schemas.openxmlformats.org/officeDocument/2006/relationships/image" Target="../media/image47.emf"/><Relationship Id="rId22" Type="http://schemas.openxmlformats.org/officeDocument/2006/relationships/oleObject" Target="../embeddings/oleObject20.bin"/><Relationship Id="rId21" Type="http://schemas.openxmlformats.org/officeDocument/2006/relationships/image" Target="../media/image46.emf"/><Relationship Id="rId20" Type="http://schemas.openxmlformats.org/officeDocument/2006/relationships/oleObject" Target="../embeddings/oleObject19.bin"/><Relationship Id="rId2" Type="http://schemas.openxmlformats.org/officeDocument/2006/relationships/drawing" Target="../drawings/drawing4.xml"/><Relationship Id="rId19" Type="http://schemas.openxmlformats.org/officeDocument/2006/relationships/image" Target="../media/image45.emf"/><Relationship Id="rId18" Type="http://schemas.openxmlformats.org/officeDocument/2006/relationships/oleObject" Target="../embeddings/oleObject18.bin"/><Relationship Id="rId17" Type="http://schemas.openxmlformats.org/officeDocument/2006/relationships/image" Target="../media/image44.emf"/><Relationship Id="rId16" Type="http://schemas.openxmlformats.org/officeDocument/2006/relationships/oleObject" Target="../embeddings/oleObject17.bin"/><Relationship Id="rId15" Type="http://schemas.openxmlformats.org/officeDocument/2006/relationships/image" Target="../media/image43.emf"/><Relationship Id="rId14" Type="http://schemas.openxmlformats.org/officeDocument/2006/relationships/oleObject" Target="../embeddings/oleObject16.bin"/><Relationship Id="rId13" Type="http://schemas.openxmlformats.org/officeDocument/2006/relationships/image" Target="../media/image42.emf"/><Relationship Id="rId12" Type="http://schemas.openxmlformats.org/officeDocument/2006/relationships/oleObject" Target="../embeddings/oleObject15.bin"/><Relationship Id="rId11" Type="http://schemas.openxmlformats.org/officeDocument/2006/relationships/image" Target="../media/image41.emf"/><Relationship Id="rId10" Type="http://schemas.openxmlformats.org/officeDocument/2006/relationships/oleObject" Target="../embeddings/oleObject14.bin"/><Relationship Id="rId1" Type="http://schemas.openxmlformats.org/officeDocument/2006/relationships/comments" Target="../comments1.xml"/></Relationships>
</file>

<file path=xl/worksheets/_rels/sheet5.xml.rels><?xml version="1.0" encoding="UTF-8" standalone="yes"?>
<Relationships xmlns="http://schemas.openxmlformats.org/package/2006/relationships"><Relationship Id="rId7" Type="http://schemas.openxmlformats.org/officeDocument/2006/relationships/image" Target="../media/image49.emf"/><Relationship Id="rId6" Type="http://schemas.openxmlformats.org/officeDocument/2006/relationships/oleObject" Target="../embeddings/oleObject22.bin"/><Relationship Id="rId5" Type="http://schemas.openxmlformats.org/officeDocument/2006/relationships/image" Target="../media/image48.emf"/><Relationship Id="rId4" Type="http://schemas.openxmlformats.org/officeDocument/2006/relationships/oleObject" Target="../embeddings/oleObject21.bin"/><Relationship Id="rId3" Type="http://schemas.openxmlformats.org/officeDocument/2006/relationships/vmlDrawing" Target="../drawings/vmlDrawing3.vml"/><Relationship Id="rId2" Type="http://schemas.openxmlformats.org/officeDocument/2006/relationships/drawing" Target="../drawings/drawing5.xml"/><Relationship Id="rId1" Type="http://schemas.openxmlformats.org/officeDocument/2006/relationships/comments" Target="../comments2.xml"/></Relationships>
</file>

<file path=xl/worksheets/_rels/sheet6.xml.rels><?xml version="1.0" encoding="UTF-8" standalone="yes"?>
<Relationships xmlns="http://schemas.openxmlformats.org/package/2006/relationships"><Relationship Id="rId9" Type="http://schemas.openxmlformats.org/officeDocument/2006/relationships/image" Target="../media/image53.emf"/><Relationship Id="rId8" Type="http://schemas.openxmlformats.org/officeDocument/2006/relationships/oleObject" Target="../embeddings/oleObject25.bin"/><Relationship Id="rId7" Type="http://schemas.openxmlformats.org/officeDocument/2006/relationships/image" Target="../media/image52.emf"/><Relationship Id="rId6" Type="http://schemas.openxmlformats.org/officeDocument/2006/relationships/oleObject" Target="../embeddings/oleObject24.bin"/><Relationship Id="rId5" Type="http://schemas.openxmlformats.org/officeDocument/2006/relationships/image" Target="../media/image51.emf"/><Relationship Id="rId4" Type="http://schemas.openxmlformats.org/officeDocument/2006/relationships/oleObject" Target="../embeddings/oleObject23.bin"/><Relationship Id="rId3" Type="http://schemas.openxmlformats.org/officeDocument/2006/relationships/vmlDrawing" Target="../drawings/vmlDrawing4.vml"/><Relationship Id="rId2" Type="http://schemas.openxmlformats.org/officeDocument/2006/relationships/drawing" Target="../drawings/drawing6.xml"/><Relationship Id="rId13" Type="http://schemas.openxmlformats.org/officeDocument/2006/relationships/image" Target="../media/image55.emf"/><Relationship Id="rId12" Type="http://schemas.openxmlformats.org/officeDocument/2006/relationships/oleObject" Target="../embeddings/oleObject27.bin"/><Relationship Id="rId11" Type="http://schemas.openxmlformats.org/officeDocument/2006/relationships/image" Target="../media/image54.emf"/><Relationship Id="rId10" Type="http://schemas.openxmlformats.org/officeDocument/2006/relationships/oleObject" Target="../embeddings/oleObject26.bin"/><Relationship Id="rId1" Type="http://schemas.openxmlformats.org/officeDocument/2006/relationships/comments" Target="../comments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9" Type="http://schemas.openxmlformats.org/officeDocument/2006/relationships/image" Target="../media/image67.emf"/><Relationship Id="rId8" Type="http://schemas.openxmlformats.org/officeDocument/2006/relationships/oleObject" Target="../embeddings/oleObject30.bin"/><Relationship Id="rId7" Type="http://schemas.openxmlformats.org/officeDocument/2006/relationships/image" Target="../media/image66.emf"/><Relationship Id="rId6" Type="http://schemas.openxmlformats.org/officeDocument/2006/relationships/oleObject" Target="../embeddings/oleObject29.bin"/><Relationship Id="rId5" Type="http://schemas.openxmlformats.org/officeDocument/2006/relationships/image" Target="../media/image65.emf"/><Relationship Id="rId4" Type="http://schemas.openxmlformats.org/officeDocument/2006/relationships/oleObject" Target="../embeddings/oleObject28.bin"/><Relationship Id="rId3" Type="http://schemas.openxmlformats.org/officeDocument/2006/relationships/vmlDrawing" Target="../drawings/vmlDrawing5.vml"/><Relationship Id="rId2" Type="http://schemas.openxmlformats.org/officeDocument/2006/relationships/drawing" Target="../drawings/drawing8.xml"/><Relationship Id="rId15" Type="http://schemas.openxmlformats.org/officeDocument/2006/relationships/image" Target="../media/image70.emf"/><Relationship Id="rId14" Type="http://schemas.openxmlformats.org/officeDocument/2006/relationships/oleObject" Target="../embeddings/oleObject33.bin"/><Relationship Id="rId13" Type="http://schemas.openxmlformats.org/officeDocument/2006/relationships/image" Target="../media/image69.emf"/><Relationship Id="rId12" Type="http://schemas.openxmlformats.org/officeDocument/2006/relationships/oleObject" Target="../embeddings/oleObject32.bin"/><Relationship Id="rId11" Type="http://schemas.openxmlformats.org/officeDocument/2006/relationships/image" Target="../media/image68.emf"/><Relationship Id="rId10" Type="http://schemas.openxmlformats.org/officeDocument/2006/relationships/oleObject" Target="../embeddings/oleObject31.bin"/><Relationship Id="rId1" Type="http://schemas.openxmlformats.org/officeDocument/2006/relationships/comments" Target="../comments4.xml"/></Relationships>
</file>

<file path=xl/worksheets/_rels/sheet9.xml.rels><?xml version="1.0" encoding="UTF-8" standalone="yes"?>
<Relationships xmlns="http://schemas.openxmlformats.org/package/2006/relationships"><Relationship Id="rId5" Type="http://schemas.openxmlformats.org/officeDocument/2006/relationships/image" Target="../media/image75.emf"/><Relationship Id="rId4" Type="http://schemas.openxmlformats.org/officeDocument/2006/relationships/oleObject" Target="../embeddings/oleObject34.bin"/><Relationship Id="rId3" Type="http://schemas.openxmlformats.org/officeDocument/2006/relationships/vmlDrawing" Target="../drawings/vmlDrawing6.vml"/><Relationship Id="rId2" Type="http://schemas.openxmlformats.org/officeDocument/2006/relationships/drawing" Target="../drawings/drawing9.xml"/><Relationship Id="rId1" Type="http://schemas.openxmlformats.org/officeDocument/2006/relationships/comments" Target="../comments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02"/>
  <sheetViews>
    <sheetView tabSelected="1" topLeftCell="A21" workbookViewId="0">
      <selection activeCell="I10" sqref="I10"/>
    </sheetView>
  </sheetViews>
  <sheetFormatPr defaultColWidth="9" defaultRowHeight="20.1" customHeight="1" outlineLevelCol="4"/>
  <cols>
    <col min="1" max="1" width="7.125" customWidth="1"/>
    <col min="2" max="2" width="27.75" customWidth="1"/>
    <col min="3" max="3" width="66.375" customWidth="1"/>
  </cols>
  <sheetData>
    <row r="1" customHeight="1" spans="1:3">
      <c r="A1" s="1230" t="s">
        <v>0</v>
      </c>
      <c r="B1" s="1230" t="s">
        <v>1</v>
      </c>
      <c r="C1" s="499" t="s">
        <v>2</v>
      </c>
    </row>
    <row r="2" customHeight="1" spans="1:3">
      <c r="A2" s="1231">
        <v>1</v>
      </c>
      <c r="B2" s="1232" t="s">
        <v>3</v>
      </c>
      <c r="C2" s="1233" t="s">
        <v>4</v>
      </c>
    </row>
    <row r="3" customHeight="1" spans="1:3">
      <c r="A3" s="1231">
        <v>2</v>
      </c>
      <c r="B3" s="1232" t="s">
        <v>5</v>
      </c>
      <c r="C3" s="1234" t="s">
        <v>6</v>
      </c>
    </row>
    <row r="4" customHeight="1" spans="1:3">
      <c r="A4" s="1231">
        <v>3</v>
      </c>
      <c r="B4" s="1235" t="s">
        <v>7</v>
      </c>
      <c r="C4" s="1236" t="s">
        <v>8</v>
      </c>
    </row>
    <row r="5" customHeight="1" spans="1:3">
      <c r="A5" s="1231">
        <v>4</v>
      </c>
      <c r="B5" s="1235" t="s">
        <v>9</v>
      </c>
      <c r="C5" s="1237" t="s">
        <v>10</v>
      </c>
    </row>
    <row r="6" customHeight="1" spans="1:3">
      <c r="A6" s="1231">
        <v>5</v>
      </c>
      <c r="B6" s="1235" t="s">
        <v>11</v>
      </c>
      <c r="C6" s="1236" t="s">
        <v>12</v>
      </c>
    </row>
    <row r="7" customHeight="1" spans="1:4">
      <c r="A7" s="1231">
        <v>6</v>
      </c>
      <c r="B7" s="1238" t="s">
        <v>13</v>
      </c>
      <c r="C7" s="1236" t="s">
        <v>14</v>
      </c>
      <c r="D7" s="1239"/>
    </row>
    <row r="8" customHeight="1" spans="1:3">
      <c r="A8" s="1231">
        <v>7</v>
      </c>
      <c r="B8" s="1238" t="s">
        <v>15</v>
      </c>
      <c r="C8" s="1236" t="s">
        <v>16</v>
      </c>
    </row>
    <row r="9" customHeight="1" spans="1:3">
      <c r="A9" s="1231">
        <v>8</v>
      </c>
      <c r="B9" s="1238" t="s">
        <v>17</v>
      </c>
      <c r="C9" s="1236" t="s">
        <v>18</v>
      </c>
    </row>
    <row r="10" customHeight="1" spans="1:5">
      <c r="A10" s="1231">
        <v>9</v>
      </c>
      <c r="B10" s="1235" t="s">
        <v>19</v>
      </c>
      <c r="C10" s="1240" t="s">
        <v>20</v>
      </c>
      <c r="E10" s="1241"/>
    </row>
    <row r="11" customHeight="1" spans="1:5">
      <c r="A11" s="1231">
        <v>10</v>
      </c>
      <c r="B11" s="1235" t="s">
        <v>21</v>
      </c>
      <c r="C11" s="1242" t="s">
        <v>22</v>
      </c>
      <c r="D11" s="1241"/>
      <c r="E11" s="1241"/>
    </row>
    <row r="12" customHeight="1" spans="1:5">
      <c r="A12" s="1231">
        <v>11</v>
      </c>
      <c r="B12" s="1232" t="s">
        <v>23</v>
      </c>
      <c r="C12" s="1243" t="s">
        <v>24</v>
      </c>
      <c r="D12" s="1241"/>
      <c r="E12" s="1241"/>
    </row>
    <row r="13" customHeight="1" spans="1:5">
      <c r="A13" s="1231">
        <v>12</v>
      </c>
      <c r="B13" s="1232" t="s">
        <v>25</v>
      </c>
      <c r="C13" s="1243"/>
      <c r="D13" s="1241"/>
      <c r="E13" s="1241"/>
    </row>
    <row r="14" customHeight="1" spans="1:5">
      <c r="A14" s="1231">
        <v>13</v>
      </c>
      <c r="B14" s="1232" t="s">
        <v>26</v>
      </c>
      <c r="C14" s="1243"/>
      <c r="D14" s="1241"/>
      <c r="E14" s="1241"/>
    </row>
    <row r="15" customHeight="1" spans="1:5">
      <c r="A15" s="1231">
        <v>14</v>
      </c>
      <c r="B15" s="1232" t="s">
        <v>27</v>
      </c>
      <c r="C15" s="1243"/>
      <c r="D15" s="1241"/>
      <c r="E15" s="1241"/>
    </row>
    <row r="16" customHeight="1" spans="1:4">
      <c r="A16" s="1231">
        <v>15</v>
      </c>
      <c r="B16" s="1235" t="s">
        <v>28</v>
      </c>
      <c r="C16" s="1243"/>
      <c r="D16" s="1241"/>
    </row>
    <row r="17" customHeight="1" spans="1:3">
      <c r="A17" s="1231">
        <v>16</v>
      </c>
      <c r="B17" s="1238" t="s">
        <v>29</v>
      </c>
      <c r="C17" s="1243"/>
    </row>
    <row r="18" customHeight="1" spans="1:3">
      <c r="A18" s="1231">
        <v>17</v>
      </c>
      <c r="B18" s="1235" t="s">
        <v>30</v>
      </c>
      <c r="C18" s="1243"/>
    </row>
    <row r="19" customHeight="1" spans="1:3">
      <c r="A19" s="1231">
        <v>18</v>
      </c>
      <c r="B19" s="1235" t="s">
        <v>31</v>
      </c>
      <c r="C19" s="1243"/>
    </row>
    <row r="20" customHeight="1" spans="1:3">
      <c r="A20" s="1231">
        <v>19</v>
      </c>
      <c r="B20" s="1232" t="s">
        <v>32</v>
      </c>
      <c r="C20" s="1243"/>
    </row>
    <row r="21" customHeight="1" spans="1:3">
      <c r="A21" s="1231">
        <v>20</v>
      </c>
      <c r="B21" s="1238" t="s">
        <v>33</v>
      </c>
      <c r="C21" s="499" t="s">
        <v>34</v>
      </c>
    </row>
    <row r="22" customHeight="1" spans="1:3">
      <c r="A22" s="1231">
        <v>21</v>
      </c>
      <c r="B22" s="1232" t="s">
        <v>35</v>
      </c>
      <c r="C22" s="1244" t="s">
        <v>36</v>
      </c>
    </row>
    <row r="23" customHeight="1" spans="1:3">
      <c r="A23" s="1231">
        <v>22</v>
      </c>
      <c r="B23" s="1238" t="s">
        <v>37</v>
      </c>
      <c r="C23" s="1245"/>
    </row>
    <row r="24" customHeight="1" spans="1:3">
      <c r="A24" s="1231">
        <v>23</v>
      </c>
      <c r="B24" s="1238" t="s">
        <v>38</v>
      </c>
      <c r="C24" s="1245"/>
    </row>
    <row r="25" customHeight="1" spans="1:3">
      <c r="A25" s="1231">
        <v>24</v>
      </c>
      <c r="B25" s="1232" t="s">
        <v>39</v>
      </c>
      <c r="C25" s="1245"/>
    </row>
    <row r="26" customHeight="1" spans="1:3">
      <c r="A26" s="1231">
        <v>25</v>
      </c>
      <c r="B26" s="1238" t="s">
        <v>40</v>
      </c>
      <c r="C26" s="1245"/>
    </row>
    <row r="27" customHeight="1" spans="1:3">
      <c r="A27" s="1231">
        <v>26</v>
      </c>
      <c r="B27" s="1247" t="s">
        <v>41</v>
      </c>
      <c r="C27" s="1245"/>
    </row>
    <row r="28" customHeight="1" spans="1:3">
      <c r="A28" s="1231">
        <v>27</v>
      </c>
      <c r="B28" s="1238" t="s">
        <v>42</v>
      </c>
      <c r="C28" s="1245"/>
    </row>
    <row r="29" customHeight="1" spans="1:3">
      <c r="A29" s="1231">
        <v>28</v>
      </c>
      <c r="B29" s="1235" t="s">
        <v>43</v>
      </c>
      <c r="C29" s="1245"/>
    </row>
    <row r="30" customHeight="1" spans="1:3">
      <c r="A30" s="1231">
        <v>29</v>
      </c>
      <c r="B30" s="1238" t="s">
        <v>44</v>
      </c>
      <c r="C30" s="1245"/>
    </row>
    <row r="31" customHeight="1" spans="1:3">
      <c r="A31" s="1231">
        <v>30</v>
      </c>
      <c r="B31" s="1235" t="s">
        <v>45</v>
      </c>
      <c r="C31" s="1245"/>
    </row>
    <row r="32" customHeight="1" spans="1:3">
      <c r="A32" s="1231">
        <v>31</v>
      </c>
      <c r="B32" s="1235" t="s">
        <v>46</v>
      </c>
      <c r="C32" s="1245"/>
    </row>
    <row r="33" customHeight="1" spans="1:3">
      <c r="A33" s="1231">
        <v>32</v>
      </c>
      <c r="B33" s="1235" t="s">
        <v>47</v>
      </c>
      <c r="C33" s="1245"/>
    </row>
    <row r="34" customHeight="1" spans="1:3">
      <c r="A34" s="1231">
        <v>33</v>
      </c>
      <c r="B34" s="1238" t="s">
        <v>48</v>
      </c>
      <c r="C34" s="1245"/>
    </row>
    <row r="35" customHeight="1" spans="1:3">
      <c r="A35" s="1231">
        <v>34</v>
      </c>
      <c r="B35" s="1232" t="s">
        <v>49</v>
      </c>
      <c r="C35" s="1245"/>
    </row>
    <row r="36" customHeight="1" spans="2:2">
      <c r="B36" s="1246" t="str">
        <f>IFERROR(HYPERLINK(目录&amp;"!A1",MID(目录,FIND("]",目录)+1,99)),"")</f>
        <v/>
      </c>
    </row>
    <row r="37" customHeight="1" spans="2:2">
      <c r="B37" s="1246" t="str">
        <f>IFERROR(HYPERLINK(目录&amp;"!A1",MID(目录,FIND("]",目录)+1,99)),"")</f>
        <v/>
      </c>
    </row>
    <row r="38" customHeight="1" spans="2:2">
      <c r="B38" s="1246" t="str">
        <f>IFERROR(HYPERLINK(目录&amp;"!A1",MID(目录,FIND("]",目录)+1,99)),"")</f>
        <v/>
      </c>
    </row>
    <row r="39" customHeight="1" spans="2:2">
      <c r="B39" s="1246" t="str">
        <f>IFERROR(HYPERLINK(目录&amp;"!A1",MID(目录,FIND("]",目录)+1,99)),"")</f>
        <v/>
      </c>
    </row>
    <row r="40" customHeight="1" spans="2:2">
      <c r="B40" t="str">
        <f>IFERROR(HYPERLINK(目录&amp;"!A1",MID(目录,FIND("]",目录)+1,99)),"")</f>
        <v/>
      </c>
    </row>
    <row r="41" customHeight="1" spans="2:2">
      <c r="B41" t="str">
        <f>IFERROR(HYPERLINK(目录&amp;"!A1",MID(目录,FIND("]",目录)+1,99)),"")</f>
        <v/>
      </c>
    </row>
    <row r="42" customHeight="1" spans="2:2">
      <c r="B42" t="str">
        <f>IFERROR(HYPERLINK(目录&amp;"!A1",MID(目录,FIND("]",目录)+1,99)),"")</f>
        <v/>
      </c>
    </row>
    <row r="43" customHeight="1" spans="2:2">
      <c r="B43" t="str">
        <f>IFERROR(HYPERLINK(目录&amp;"!A1",MID(目录,FIND("]",目录)+1,99)),"")</f>
        <v/>
      </c>
    </row>
    <row r="44" customHeight="1" spans="2:2">
      <c r="B44" t="str">
        <f>IFERROR(HYPERLINK(目录&amp;"!A1",MID(目录,FIND("]",目录)+1,99)),"")</f>
        <v/>
      </c>
    </row>
    <row r="45" customHeight="1" spans="2:2">
      <c r="B45" t="str">
        <f>IFERROR(HYPERLINK(目录&amp;"!A1",MID(目录,FIND("]",目录)+1,99)),"")</f>
        <v/>
      </c>
    </row>
    <row r="46" customHeight="1" spans="2:2">
      <c r="B46" t="str">
        <f>IFERROR(HYPERLINK(目录&amp;"!A1",MID(目录,FIND("]",目录)+1,99)),"")</f>
        <v/>
      </c>
    </row>
    <row r="47" customHeight="1" spans="2:2">
      <c r="B47" t="str">
        <f>IFERROR(HYPERLINK(目录&amp;"!A1",MID(目录,FIND("]",目录)+1,99)),"")</f>
        <v/>
      </c>
    </row>
    <row r="48" customHeight="1" spans="2:2">
      <c r="B48" t="str">
        <f>IFERROR(HYPERLINK(目录&amp;"!A1",MID(目录,FIND("]",目录)+1,99)),"")</f>
        <v/>
      </c>
    </row>
    <row r="49" customHeight="1" spans="2:2">
      <c r="B49" t="str">
        <f>IFERROR(HYPERLINK(目录&amp;"!A1",MID(目录,FIND("]",目录)+1,99)),"")</f>
        <v/>
      </c>
    </row>
    <row r="50" customHeight="1" spans="2:2">
      <c r="B50" t="str">
        <f>IFERROR(HYPERLINK(目录&amp;"!A1",MID(目录,FIND("]",目录)+1,99)),"")</f>
        <v/>
      </c>
    </row>
    <row r="51" customHeight="1" spans="2:2">
      <c r="B51" t="str">
        <f>IFERROR(HYPERLINK(目录&amp;"!A1",MID(目录,FIND("]",目录)+1,99)),"")</f>
        <v/>
      </c>
    </row>
    <row r="52" customHeight="1" spans="2:2">
      <c r="B52" t="str">
        <f>IFERROR(HYPERLINK(目录&amp;"!A1",MID(目录,FIND("]",目录)+1,99)),"")</f>
        <v/>
      </c>
    </row>
    <row r="53" customHeight="1" spans="2:2">
      <c r="B53" t="str">
        <f>IFERROR(HYPERLINK(目录&amp;"!A1",MID(目录,FIND("]",目录)+1,99)),"")</f>
        <v/>
      </c>
    </row>
    <row r="54" customHeight="1" spans="2:2">
      <c r="B54" t="str">
        <f>IFERROR(HYPERLINK(目录&amp;"!A1",MID(目录,FIND("]",目录)+1,99)),"")</f>
        <v/>
      </c>
    </row>
    <row r="55" customHeight="1" spans="2:2">
      <c r="B55" t="str">
        <f>IFERROR(HYPERLINK(目录&amp;"!A1",MID(目录,FIND("]",目录)+1,99)),"")</f>
        <v/>
      </c>
    </row>
    <row r="56" customHeight="1" spans="2:2">
      <c r="B56" t="str">
        <f>IFERROR(HYPERLINK(目录&amp;"!A1",MID(目录,FIND("]",目录)+1,99)),"")</f>
        <v/>
      </c>
    </row>
    <row r="57" customHeight="1" spans="2:2">
      <c r="B57" t="str">
        <f>IFERROR(HYPERLINK(目录&amp;"!A1",MID(目录,FIND("]",目录)+1,99)),"")</f>
        <v/>
      </c>
    </row>
    <row r="58" customHeight="1" spans="2:2">
      <c r="B58" t="str">
        <f>IFERROR(HYPERLINK(目录&amp;"!A1",MID(目录,FIND("]",目录)+1,99)),"")</f>
        <v/>
      </c>
    </row>
    <row r="59" customHeight="1" spans="2:2">
      <c r="B59" t="str">
        <f>IFERROR(HYPERLINK(目录&amp;"!A1",MID(目录,FIND("]",目录)+1,99)),"")</f>
        <v/>
      </c>
    </row>
    <row r="60" customHeight="1" spans="2:2">
      <c r="B60" t="str">
        <f>IFERROR(HYPERLINK(目录&amp;"!A1",MID(目录,FIND("]",目录)+1,99)),"")</f>
        <v/>
      </c>
    </row>
    <row r="61" customHeight="1" spans="2:2">
      <c r="B61" t="str">
        <f>IFERROR(HYPERLINK(目录&amp;"!A1",MID(目录,FIND("]",目录)+1,99)),"")</f>
        <v/>
      </c>
    </row>
    <row r="62" customHeight="1" spans="2:2">
      <c r="B62" t="str">
        <f>IFERROR(HYPERLINK(目录&amp;"!A1",MID(目录,FIND("]",目录)+1,99)),"")</f>
        <v/>
      </c>
    </row>
    <row r="63" customHeight="1" spans="2:2">
      <c r="B63" t="str">
        <f>IFERROR(HYPERLINK(目录&amp;"!A1",MID(目录,FIND("]",目录)+1,99)),"")</f>
        <v/>
      </c>
    </row>
    <row r="64" customHeight="1" spans="2:2">
      <c r="B64" t="str">
        <f>IFERROR(HYPERLINK(目录&amp;"!A1",MID(目录,FIND("]",目录)+1,99)),"")</f>
        <v/>
      </c>
    </row>
    <row r="65" customHeight="1" spans="2:2">
      <c r="B65" t="str">
        <f>IFERROR(HYPERLINK(目录&amp;"!A1",MID(目录,FIND("]",目录)+1,99)),"")</f>
        <v/>
      </c>
    </row>
    <row r="66" customHeight="1" spans="2:2">
      <c r="B66" t="str">
        <f>IFERROR(HYPERLINK(目录&amp;"!A1",MID(目录,FIND("]",目录)+1,99)),"")</f>
        <v/>
      </c>
    </row>
    <row r="67" customHeight="1" spans="2:2">
      <c r="B67" t="str">
        <f>IFERROR(HYPERLINK(—目录—&amp;"!A1",MID(—目录—,FIND("]",—目录—)+1,99)),"")</f>
        <v/>
      </c>
    </row>
    <row r="68" customHeight="1" spans="2:2">
      <c r="B68" t="str">
        <f>IFERROR(HYPERLINK(—目录—&amp;"!A1",MID(—目录—,FIND("]",—目录—)+1,99)),"")</f>
        <v/>
      </c>
    </row>
    <row r="69" customHeight="1" spans="2:2">
      <c r="B69" t="str">
        <f>IFERROR(HYPERLINK(—目录—&amp;"!A1",MID(—目录—,FIND("]",—目录—)+1,99)),"")</f>
        <v/>
      </c>
    </row>
    <row r="70" customHeight="1" spans="2:2">
      <c r="B70" t="str">
        <f>IFERROR(HYPERLINK(—目录—&amp;"!A1",MID(—目录—,FIND("]",—目录—)+1,99)),"")</f>
        <v/>
      </c>
    </row>
    <row r="71" customHeight="1" spans="2:2">
      <c r="B71" t="str">
        <f>IFERROR(HYPERLINK(—目录—&amp;"!A1",MID(—目录—,FIND("]",—目录—)+1,99)),"")</f>
        <v/>
      </c>
    </row>
    <row r="72" customHeight="1" spans="2:2">
      <c r="B72" t="str">
        <f>IFERROR(HYPERLINK(—目录—&amp;"!A1",MID(—目录—,FIND("]",—目录—)+1,99)),"")</f>
        <v/>
      </c>
    </row>
    <row r="73" customHeight="1" spans="2:2">
      <c r="B73" t="str">
        <f>IFERROR(HYPERLINK(—目录—&amp;"!A1",MID(—目录—,FIND("]",—目录—)+1,99)),"")</f>
        <v/>
      </c>
    </row>
    <row r="74" customHeight="1" spans="2:2">
      <c r="B74" t="str">
        <f>IFERROR(HYPERLINK(—目录—&amp;"!A1",MID(—目录—,FIND("]",—目录—)+1,99)),"")</f>
        <v/>
      </c>
    </row>
    <row r="75" customHeight="1" spans="2:2">
      <c r="B75" t="str">
        <f>IFERROR(HYPERLINK(—目录—&amp;"!A1",MID(—目录—,FIND("]",—目录—)+1,99)),"")</f>
        <v/>
      </c>
    </row>
    <row r="76" customHeight="1" spans="2:2">
      <c r="B76" t="str">
        <f>IFERROR(HYPERLINK(—目录—&amp;"!A1",MID(—目录—,FIND("]",—目录—)+1,99)),"")</f>
        <v/>
      </c>
    </row>
    <row r="77" customHeight="1" spans="2:2">
      <c r="B77" t="str">
        <f>IFERROR(HYPERLINK(—目录—&amp;"!A1",MID(—目录—,FIND("]",—目录—)+1,99)),"")</f>
        <v/>
      </c>
    </row>
    <row r="78" customHeight="1" spans="2:2">
      <c r="B78" t="str">
        <f>IFERROR(HYPERLINK(—目录—&amp;"!A1",MID(—目录—,FIND("]",—目录—)+1,99)),"")</f>
        <v/>
      </c>
    </row>
    <row r="79" customHeight="1" spans="2:2">
      <c r="B79" t="str">
        <f>IFERROR(HYPERLINK(—目录—&amp;"!A1",MID(—目录—,FIND("]",—目录—)+1,99)),"")</f>
        <v/>
      </c>
    </row>
    <row r="80" customHeight="1" spans="2:2">
      <c r="B80" t="str">
        <f>IFERROR(HYPERLINK(—目录—&amp;"!A1",MID(—目录—,FIND("]",—目录—)+1,99)),"")</f>
        <v/>
      </c>
    </row>
    <row r="81" customHeight="1" spans="2:2">
      <c r="B81" t="str">
        <f>IFERROR(HYPERLINK(—目录—&amp;"!A1",MID(—目录—,FIND("]",—目录—)+1,99)),"")</f>
        <v/>
      </c>
    </row>
    <row r="82" customHeight="1" spans="2:2">
      <c r="B82" t="str">
        <f>IFERROR(HYPERLINK(—目录—&amp;"!A1",MID(—目录—,FIND("]",—目录—)+1,99)),"")</f>
        <v/>
      </c>
    </row>
    <row r="83" customHeight="1" spans="2:2">
      <c r="B83" t="str">
        <f>IFERROR(HYPERLINK(—目录—&amp;"!A1",MID(—目录—,FIND("]",—目录—)+1,99)),"")</f>
        <v/>
      </c>
    </row>
    <row r="84" customHeight="1" spans="2:2">
      <c r="B84" t="str">
        <f>IFERROR(HYPERLINK(—目录—&amp;"!A1",MID(—目录—,FIND("]",—目录—)+1,99)),"")</f>
        <v/>
      </c>
    </row>
    <row r="85" customHeight="1" spans="2:2">
      <c r="B85" t="str">
        <f>IFERROR(HYPERLINK(—目录—&amp;"!A1",MID(—目录—,FIND("]",—目录—)+1,99)),"")</f>
        <v/>
      </c>
    </row>
    <row r="86" customHeight="1" spans="2:2">
      <c r="B86" t="str">
        <f>IFERROR(HYPERLINK(—目录—&amp;"!A1",MID(—目录—,FIND("]",—目录—)+1,99)),"")</f>
        <v/>
      </c>
    </row>
    <row r="87" customHeight="1" spans="2:2">
      <c r="B87" t="str">
        <f>IFERROR(HYPERLINK(—目录—&amp;"!A1",MID(—目录—,FIND("]",—目录—)+1,99)),"")</f>
        <v/>
      </c>
    </row>
    <row r="88" customHeight="1" spans="2:2">
      <c r="B88" t="str">
        <f>IFERROR(HYPERLINK(—目录—&amp;"!A1",MID(—目录—,FIND("]",—目录—)+1,99)),"")</f>
        <v/>
      </c>
    </row>
    <row r="89" customHeight="1" spans="2:2">
      <c r="B89" t="str">
        <f>IFERROR(HYPERLINK(—目录—&amp;"!A1",MID(—目录—,FIND("]",—目录—)+1,99)),"")</f>
        <v/>
      </c>
    </row>
    <row r="90" customHeight="1" spans="2:2">
      <c r="B90" t="str">
        <f>IFERROR(HYPERLINK(—目录—&amp;"!A1",MID(—目录—,FIND("]",—目录—)+1,99)),"")</f>
        <v/>
      </c>
    </row>
    <row r="91" customHeight="1" spans="2:2">
      <c r="B91" t="str">
        <f>IFERROR(HYPERLINK(—目录—&amp;"!A1",MID(—目录—,FIND("]",—目录—)+1,99)),"")</f>
        <v/>
      </c>
    </row>
    <row r="92" customHeight="1" spans="2:2">
      <c r="B92" t="str">
        <f>IFERROR(HYPERLINK(—目录—&amp;"!A1",MID(—目录—,FIND("]",—目录—)+1,99)),"")</f>
        <v/>
      </c>
    </row>
    <row r="93" customHeight="1" spans="2:2">
      <c r="B93" t="str">
        <f>IFERROR(HYPERLINK(—目录—&amp;"!A1",MID(—目录—,FIND("]",—目录—)+1,99)),"")</f>
        <v/>
      </c>
    </row>
    <row r="94" customHeight="1" spans="2:2">
      <c r="B94" t="str">
        <f>IFERROR(HYPERLINK(—目录—&amp;"!A1",MID(—目录—,FIND("]",—目录—)+1,99)),"")</f>
        <v/>
      </c>
    </row>
    <row r="95" customHeight="1" spans="2:2">
      <c r="B95" t="str">
        <f>IFERROR(HYPERLINK(—目录—&amp;"!A1",MID(—目录—,FIND("]",—目录—)+1,99)),"")</f>
        <v/>
      </c>
    </row>
    <row r="96" customHeight="1" spans="2:2">
      <c r="B96" t="str">
        <f>IFERROR(HYPERLINK(—目录—&amp;"!A1",MID(—目录—,FIND("]",—目录—)+1,99)),"")</f>
        <v/>
      </c>
    </row>
    <row r="97" customHeight="1" spans="2:2">
      <c r="B97" t="str">
        <f>IFERROR(HYPERLINK(—目录—&amp;"!A1",MID(—目录—,FIND("]",—目录—)+1,99)),"")</f>
        <v/>
      </c>
    </row>
    <row r="98" customHeight="1" spans="2:2">
      <c r="B98" t="str">
        <f>IFERROR(HYPERLINK(—目录—&amp;"!A1",MID(—目录—,FIND("]",—目录—)+1,99)),"")</f>
        <v/>
      </c>
    </row>
    <row r="99" customHeight="1" spans="2:2">
      <c r="B99" t="str">
        <f>IFERROR(HYPERLINK(—目录—&amp;"!A1",MID(—目录—,FIND("]",—目录—)+1,99)),"")</f>
        <v/>
      </c>
    </row>
    <row r="100" customHeight="1" spans="2:2">
      <c r="B100" t="str">
        <f>IFERROR(HYPERLINK(—目录—&amp;"!A1",MID(—目录—,FIND("]",—目录—)+1,99)),"")</f>
        <v/>
      </c>
    </row>
    <row r="101" customHeight="1" spans="2:2">
      <c r="B101" t="str">
        <f>IFERROR(HYPERLINK(—目录—&amp;"!A1",MID(—目录—,FIND("]",—目录—)+1,99)),"")</f>
        <v/>
      </c>
    </row>
    <row r="102" customHeight="1" spans="2:2">
      <c r="B102" t="str">
        <f>IFERROR(HYPERLINK(—目录—&amp;"!A1",MID(—目录—,FIND("]",—目录—)+1,99)),"")</f>
        <v/>
      </c>
    </row>
  </sheetData>
  <customSheetViews>
    <customSheetView guid="{27B96A40-A6B2-43F7-A93C-713F4207CB2A}">
      <selection activeCell="D14" sqref="D14"/>
      <pageMargins left="0.7" right="0.7" top="0.75" bottom="0.75" header="0.3" footer="0.3"/>
      <headerFooter/>
    </customSheetView>
  </customSheetViews>
  <mergeCells count="2">
    <mergeCell ref="C12:C20"/>
    <mergeCell ref="C22:C35"/>
  </mergeCells>
  <hyperlinks>
    <hyperlink ref="B31" location="凸轮分割器!A1" display="凸轮分割器选型合集"/>
    <hyperlink ref="B29" location="滚珠丝杆选型!A1" display="滚珠丝杆选型向导"/>
    <hyperlink ref="B24" location="液压泵选型向导!A1" display="液压泵选型向导"/>
    <hyperlink ref="B23" location="液压马达选型向导!A1" display="液压马达选型向导"/>
    <hyperlink ref="B22" location="液压缸选型向导!A1" display="液压缸选型向导"/>
    <hyperlink ref="B21" location="油压缓冲器选型!A1" display="油压缓冲器选型"/>
    <hyperlink ref="B8" location="弹簧校核计算!A1" display="弹簧校核计算"/>
    <hyperlink ref="B7" location="螺栓螺钉计算!A1" display="螺栓螺钉计算"/>
    <hyperlink ref="B3" location="轴承校核计算!A1" display="轴承校核计算合集"/>
    <hyperlink ref="B4" location="圆柱齿轮强度!A1" display="圆柱齿轮强度校核计算"/>
    <hyperlink ref="B5" location="锥齿轮强度!A1" display="锥齿轮强度"/>
    <hyperlink ref="B6" location="蜗杆蜗轮强度!A1" display="蜗杆蜗轮强度"/>
    <hyperlink ref="B9" location="V带选型向导!A1" display="V带选型向导"/>
    <hyperlink ref="B10" location="同步带选型向导!A1" display="同步带选型向导"/>
    <hyperlink ref="B11" location="传送平带转矩计算!A1" display="传送平带转矩计算"/>
    <hyperlink ref="B12" location="滚子链选型向导!A1" display="滚子链选型向导"/>
    <hyperlink ref="B13" location="倍速链选型向导!A1" display="倍速链选型向导"/>
    <hyperlink ref="B14" location="气缸选型向导!A1" display="气缸选型向导"/>
    <hyperlink ref="B15" location="回转气缸选型向导!A1" display="回转气缸选型向导"/>
    <hyperlink ref="B16" location="普通滑台气缸选型向导!A1" display="普通滑台气缸选型向导"/>
    <hyperlink ref="B17" location="'精密滑台气缸选型向导 '!A1" display="精密滑台气缸选型向导 "/>
    <hyperlink ref="B18" location="气动手指选型向导!A1" display="气动手指选型向导"/>
    <hyperlink ref="B19" location="电磁阀选型向导!A1" display="电磁阀选型向导"/>
    <hyperlink ref="B20" location="真空吸盘与发生器!A1" display="真空吸盘与发生器"/>
    <hyperlink ref="B25" location="直线轴承选型向导!B24" display="直线轴承选型向导"/>
    <hyperlink ref="B26" location="'2x2直线导轨滑块与直线轴承'!A1" display="2x2直线导轨滑块与直线轴承"/>
    <hyperlink ref="B27" location="'2x1直线导轨滑块与直线轴承'!A1" display="2x1直线导轨滑块与直线轴承"/>
    <hyperlink ref="B28" location="'1x1直线导轨滑块与直线轴承'!A1" display="1x1直线导轨滑块与直线轴承"/>
    <hyperlink ref="B30" location="步进伺服电机选型!A1" display="步进伺服电机选型合集"/>
    <hyperlink ref="B32" location="硬度与强度换算!A1" display="硬度与强度换算"/>
    <hyperlink ref="B33" location="管螺纹尺寸对照!A1" display="管螺纹尺寸对照"/>
    <hyperlink ref="B34" location="反解渐开线inv!A1" display="反解渐开线inv"/>
    <hyperlink ref="B2" location="轴的计算校核!A1" display="传动轴校核计算合集"/>
    <hyperlink ref="B35" location="转动惯量!A1" display="刚体与机构转动惯量计算合集"/>
  </hyperlinks>
  <pageMargins left="0.7" right="0.7" top="0.75" bottom="0.75" header="0.3" footer="0.3"/>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N163"/>
  <sheetViews>
    <sheetView workbookViewId="0">
      <selection activeCell="A55" sqref="A55:D61"/>
    </sheetView>
  </sheetViews>
  <sheetFormatPr defaultColWidth="15.625" defaultRowHeight="17.1" customHeight="1"/>
  <cols>
    <col min="2" max="2" width="20.5" customWidth="1"/>
    <col min="3" max="3" width="15.625" style="471"/>
    <col min="4" max="4" width="17.625" customWidth="1"/>
    <col min="5" max="5" width="5.625" customWidth="1"/>
    <col min="6" max="23" width="8.625" customWidth="1"/>
  </cols>
  <sheetData>
    <row r="1" ht="21.95" customHeight="1" spans="1:8">
      <c r="A1" s="472" t="s">
        <v>19</v>
      </c>
      <c r="B1" s="473"/>
      <c r="C1" s="473"/>
      <c r="D1" s="473"/>
      <c r="G1">
        <f>C11/8*(2*C22-C12-C14)</f>
        <v>44.053125</v>
      </c>
      <c r="H1">
        <f>G1+(G1^2-(C11*(C14-C12)/PI())^2/8)^0.5</f>
        <v>83.1155048785427</v>
      </c>
    </row>
    <row r="2" customHeight="1" spans="1:37">
      <c r="A2" s="474" t="s">
        <v>1187</v>
      </c>
      <c r="B2" s="474"/>
      <c r="C2" s="475"/>
      <c r="D2" s="474"/>
      <c r="F2" s="570" t="s">
        <v>1079</v>
      </c>
      <c r="AA2" s="612" t="s">
        <v>1188</v>
      </c>
      <c r="AK2" s="613"/>
    </row>
    <row r="3" customHeight="1" spans="1:40">
      <c r="A3" s="476" t="s">
        <v>269</v>
      </c>
      <c r="B3" s="476" t="s">
        <v>270</v>
      </c>
      <c r="C3" s="477" t="s">
        <v>271</v>
      </c>
      <c r="D3" s="476" t="s">
        <v>272</v>
      </c>
      <c r="F3" s="571" t="s">
        <v>1080</v>
      </c>
      <c r="G3" s="571"/>
      <c r="H3" s="571"/>
      <c r="I3" s="571"/>
      <c r="J3" s="594" t="s">
        <v>1081</v>
      </c>
      <c r="K3" s="595"/>
      <c r="L3" s="595"/>
      <c r="M3" s="595"/>
      <c r="N3" s="595"/>
      <c r="O3" s="595"/>
      <c r="P3" s="596" t="s">
        <v>1189</v>
      </c>
      <c r="Q3" s="596"/>
      <c r="R3" s="596"/>
      <c r="S3" s="596"/>
      <c r="T3" s="596"/>
      <c r="U3" s="606"/>
      <c r="Y3" s="546"/>
      <c r="Z3" s="546"/>
      <c r="AA3" s="612" t="s">
        <v>1190</v>
      </c>
      <c r="AB3" s="546"/>
      <c r="AC3" s="546"/>
      <c r="AD3" s="546"/>
      <c r="AE3" s="546"/>
      <c r="AF3" s="546"/>
      <c r="AG3" s="546"/>
      <c r="AH3" s="546"/>
      <c r="AI3" s="546"/>
      <c r="AJ3" s="546"/>
      <c r="AK3" s="546"/>
      <c r="AN3" s="613"/>
    </row>
    <row r="4" customHeight="1" spans="1:40">
      <c r="A4" s="572" t="s">
        <v>1083</v>
      </c>
      <c r="B4" s="476" t="s">
        <v>1084</v>
      </c>
      <c r="C4" s="91">
        <v>0.1</v>
      </c>
      <c r="D4" s="476"/>
      <c r="F4" s="571"/>
      <c r="G4" s="571"/>
      <c r="H4" s="571"/>
      <c r="I4" s="571"/>
      <c r="J4" s="597" t="s">
        <v>1085</v>
      </c>
      <c r="K4" s="597"/>
      <c r="L4" s="597"/>
      <c r="M4" s="598" t="s">
        <v>1086</v>
      </c>
      <c r="N4" s="594"/>
      <c r="O4" s="594"/>
      <c r="P4" s="599" t="s">
        <v>1191</v>
      </c>
      <c r="Q4" s="599"/>
      <c r="R4" s="599"/>
      <c r="S4" s="599"/>
      <c r="T4" s="599"/>
      <c r="U4" s="607"/>
      <c r="Y4" s="547"/>
      <c r="Z4" s="547"/>
      <c r="AA4" s="612" t="s">
        <v>1192</v>
      </c>
      <c r="AB4" s="547"/>
      <c r="AC4" s="547"/>
      <c r="AD4" s="547"/>
      <c r="AE4" s="547"/>
      <c r="AF4" s="547"/>
      <c r="AG4" s="547"/>
      <c r="AH4" s="547"/>
      <c r="AI4" s="547"/>
      <c r="AJ4" s="547"/>
      <c r="AK4" s="547"/>
      <c r="AN4" s="613"/>
    </row>
    <row r="5" customHeight="1" spans="1:40">
      <c r="A5" s="572"/>
      <c r="B5" s="476" t="s">
        <v>1088</v>
      </c>
      <c r="C5" s="91">
        <v>1000</v>
      </c>
      <c r="D5" s="476"/>
      <c r="F5" s="571"/>
      <c r="G5" s="571"/>
      <c r="H5" s="571"/>
      <c r="I5" s="571"/>
      <c r="J5" s="592" t="s">
        <v>1193</v>
      </c>
      <c r="K5" s="592" t="s">
        <v>1194</v>
      </c>
      <c r="L5" s="592" t="s">
        <v>1195</v>
      </c>
      <c r="M5" s="592" t="s">
        <v>1193</v>
      </c>
      <c r="N5" s="592" t="s">
        <v>1194</v>
      </c>
      <c r="O5" s="592" t="s">
        <v>1195</v>
      </c>
      <c r="P5" s="600" t="s">
        <v>1092</v>
      </c>
      <c r="Q5" s="608" t="s">
        <v>1093</v>
      </c>
      <c r="R5" s="608" t="s">
        <v>1094</v>
      </c>
      <c r="S5" s="608" t="s">
        <v>1095</v>
      </c>
      <c r="T5" s="608" t="s">
        <v>1096</v>
      </c>
      <c r="U5" s="609"/>
      <c r="Y5" s="535"/>
      <c r="Z5" s="535"/>
      <c r="AA5" s="612" t="s">
        <v>1196</v>
      </c>
      <c r="AB5" s="535"/>
      <c r="AC5" s="535"/>
      <c r="AD5" s="535"/>
      <c r="AE5" s="535"/>
      <c r="AF5" s="535"/>
      <c r="AG5" s="535"/>
      <c r="AH5" s="535"/>
      <c r="AI5" s="535"/>
      <c r="AJ5" s="535"/>
      <c r="AK5" s="535"/>
      <c r="AN5" s="613"/>
    </row>
    <row r="6" customHeight="1" spans="1:40">
      <c r="A6" s="572"/>
      <c r="B6" s="476" t="s">
        <v>1197</v>
      </c>
      <c r="C6" s="91">
        <v>80</v>
      </c>
      <c r="D6" s="476"/>
      <c r="F6" s="573" t="s">
        <v>1198</v>
      </c>
      <c r="G6" s="573"/>
      <c r="H6" s="573"/>
      <c r="I6" s="573"/>
      <c r="J6" s="601">
        <v>1</v>
      </c>
      <c r="K6" s="601">
        <v>1.2</v>
      </c>
      <c r="L6" s="601">
        <v>1.4</v>
      </c>
      <c r="M6" s="601">
        <v>1.2</v>
      </c>
      <c r="N6" s="601">
        <v>1.4</v>
      </c>
      <c r="O6" s="601">
        <v>1.6</v>
      </c>
      <c r="P6" s="602" t="s">
        <v>1099</v>
      </c>
      <c r="Q6" s="610">
        <v>0.1</v>
      </c>
      <c r="R6" s="610">
        <v>0.2</v>
      </c>
      <c r="S6" s="610">
        <v>0.3</v>
      </c>
      <c r="T6" s="610">
        <v>0.4</v>
      </c>
      <c r="U6" s="611"/>
      <c r="V6" s="540"/>
      <c r="W6" s="540"/>
      <c r="X6" s="540"/>
      <c r="Y6" s="540"/>
      <c r="Z6" s="540"/>
      <c r="AA6" s="612" t="s">
        <v>1199</v>
      </c>
      <c r="AB6" s="540"/>
      <c r="AC6" s="540"/>
      <c r="AD6" s="540"/>
      <c r="AE6" s="540"/>
      <c r="AF6" s="540"/>
      <c r="AG6" s="540"/>
      <c r="AH6" s="540"/>
      <c r="AI6" s="540"/>
      <c r="AJ6" s="540"/>
      <c r="AK6" s="540"/>
      <c r="AN6" s="613"/>
    </row>
    <row r="7" customHeight="1" spans="1:40">
      <c r="A7" s="572"/>
      <c r="B7" s="476" t="s">
        <v>1097</v>
      </c>
      <c r="C7" s="91">
        <v>2.6</v>
      </c>
      <c r="D7" s="476"/>
      <c r="F7" s="573"/>
      <c r="G7" s="573"/>
      <c r="H7" s="573"/>
      <c r="I7" s="573"/>
      <c r="J7" s="601"/>
      <c r="K7" s="601"/>
      <c r="L7" s="601"/>
      <c r="M7" s="601"/>
      <c r="N7" s="601"/>
      <c r="O7" s="601"/>
      <c r="P7" s="540"/>
      <c r="Q7" s="540"/>
      <c r="R7" s="540"/>
      <c r="S7" s="540"/>
      <c r="T7" s="540"/>
      <c r="U7" s="540"/>
      <c r="V7" s="540"/>
      <c r="W7" s="540"/>
      <c r="X7" s="540"/>
      <c r="Y7" s="540"/>
      <c r="Z7" s="540"/>
      <c r="AA7" s="612" t="s">
        <v>1200</v>
      </c>
      <c r="AB7" s="540"/>
      <c r="AC7" s="540"/>
      <c r="AD7" s="540"/>
      <c r="AE7" s="540"/>
      <c r="AF7" s="540"/>
      <c r="AG7" s="540"/>
      <c r="AH7" s="540"/>
      <c r="AI7" s="540"/>
      <c r="AJ7" s="540"/>
      <c r="AK7" s="540"/>
      <c r="AN7" s="613"/>
    </row>
    <row r="8" customHeight="1" spans="1:40">
      <c r="A8" s="510" t="s">
        <v>1100</v>
      </c>
      <c r="B8" s="476" t="s">
        <v>1101</v>
      </c>
      <c r="C8" s="91">
        <v>1.2</v>
      </c>
      <c r="D8" s="490" t="s">
        <v>1102</v>
      </c>
      <c r="F8" s="573" t="s">
        <v>1201</v>
      </c>
      <c r="G8" s="573"/>
      <c r="H8" s="573"/>
      <c r="I8" s="573"/>
      <c r="J8" s="603">
        <v>1.2</v>
      </c>
      <c r="K8" s="603">
        <v>1.4</v>
      </c>
      <c r="L8" s="603">
        <v>1.6</v>
      </c>
      <c r="M8" s="603">
        <v>1.4</v>
      </c>
      <c r="N8" s="603">
        <v>1.6</v>
      </c>
      <c r="O8" s="603">
        <v>1.8</v>
      </c>
      <c r="P8" s="540"/>
      <c r="Q8" s="540"/>
      <c r="R8" s="540"/>
      <c r="S8" s="540"/>
      <c r="T8" s="540"/>
      <c r="U8" s="540"/>
      <c r="V8" s="540"/>
      <c r="W8" s="540"/>
      <c r="X8" s="540"/>
      <c r="Y8" s="540"/>
      <c r="Z8" s="540"/>
      <c r="AA8" s="612" t="s">
        <v>1202</v>
      </c>
      <c r="AB8" s="540"/>
      <c r="AC8" s="540"/>
      <c r="AD8" s="540"/>
      <c r="AE8" s="540"/>
      <c r="AF8" s="540"/>
      <c r="AG8" s="540"/>
      <c r="AH8" s="540"/>
      <c r="AI8" s="540"/>
      <c r="AJ8" s="540"/>
      <c r="AK8" s="540"/>
      <c r="AN8" s="613"/>
    </row>
    <row r="9" customHeight="1" spans="1:40">
      <c r="A9" s="510"/>
      <c r="B9" s="476" t="s">
        <v>1103</v>
      </c>
      <c r="C9" s="477">
        <f>C4*C8</f>
        <v>0.12</v>
      </c>
      <c r="D9" s="476"/>
      <c r="F9" s="573"/>
      <c r="G9" s="573"/>
      <c r="H9" s="573"/>
      <c r="I9" s="573"/>
      <c r="J9" s="603"/>
      <c r="K9" s="603"/>
      <c r="L9" s="603"/>
      <c r="M9" s="603"/>
      <c r="N9" s="603"/>
      <c r="O9" s="603"/>
      <c r="P9" s="540"/>
      <c r="Q9" s="540"/>
      <c r="R9" s="540"/>
      <c r="S9" s="540"/>
      <c r="T9" s="540"/>
      <c r="U9" s="540"/>
      <c r="V9" s="540"/>
      <c r="W9" s="540"/>
      <c r="X9" s="540"/>
      <c r="Y9" s="540"/>
      <c r="Z9" s="540"/>
      <c r="AB9" s="540"/>
      <c r="AC9" s="540"/>
      <c r="AD9" s="540"/>
      <c r="AE9" s="540"/>
      <c r="AF9" s="540"/>
      <c r="AG9" s="540"/>
      <c r="AH9" s="540"/>
      <c r="AI9" s="540"/>
      <c r="AJ9" s="540"/>
      <c r="AK9" s="540"/>
      <c r="AN9" s="613"/>
    </row>
    <row r="10" customHeight="1" spans="1:40">
      <c r="A10" s="510" t="s">
        <v>1203</v>
      </c>
      <c r="B10" s="476" t="s">
        <v>1106</v>
      </c>
      <c r="C10" s="574" t="s">
        <v>1196</v>
      </c>
      <c r="D10" s="490" t="s">
        <v>1107</v>
      </c>
      <c r="F10" s="575" t="s">
        <v>1204</v>
      </c>
      <c r="G10" s="575"/>
      <c r="H10" s="575"/>
      <c r="I10" s="575"/>
      <c r="J10" s="601">
        <v>1.3</v>
      </c>
      <c r="K10" s="601">
        <v>1.5</v>
      </c>
      <c r="L10" s="601">
        <v>1.7</v>
      </c>
      <c r="M10" s="601">
        <v>1.5</v>
      </c>
      <c r="N10" s="601">
        <v>1.7</v>
      </c>
      <c r="O10" s="601">
        <v>1.9</v>
      </c>
      <c r="P10" s="540"/>
      <c r="Q10" s="540"/>
      <c r="R10" s="540"/>
      <c r="S10" s="540"/>
      <c r="T10" s="540"/>
      <c r="U10" s="540"/>
      <c r="V10" s="540"/>
      <c r="W10" s="540"/>
      <c r="X10" s="540"/>
      <c r="Y10" s="540"/>
      <c r="Z10" s="540"/>
      <c r="AB10" s="540"/>
      <c r="AC10" s="540"/>
      <c r="AD10" s="540"/>
      <c r="AE10" s="540"/>
      <c r="AF10" s="540"/>
      <c r="AG10" s="540"/>
      <c r="AH10" s="540"/>
      <c r="AI10" s="540"/>
      <c r="AJ10" s="540"/>
      <c r="AK10" s="540"/>
      <c r="AN10" s="613"/>
    </row>
    <row r="11" customHeight="1" spans="1:40">
      <c r="A11" s="488"/>
      <c r="B11" s="476" t="s">
        <v>1205</v>
      </c>
      <c r="C11" s="576">
        <f>IF(C10=AA2,2.032,IF(C10=AA3,3.175,IF(C10=AA4,5.08,IF(C10=AA5,9.525,IF(C10=AA6,12.7,IF(C10=AA7,22.225,IF(C10=AA8,31.75)))))))</f>
        <v>9.525</v>
      </c>
      <c r="D11" s="490"/>
      <c r="F11" s="575"/>
      <c r="G11" s="575"/>
      <c r="H11" s="575"/>
      <c r="I11" s="575"/>
      <c r="J11" s="601"/>
      <c r="K11" s="601"/>
      <c r="L11" s="601"/>
      <c r="M11" s="601"/>
      <c r="N11" s="601"/>
      <c r="O11" s="601"/>
      <c r="P11" s="540"/>
      <c r="Q11" s="540"/>
      <c r="R11" s="540"/>
      <c r="S11" s="540"/>
      <c r="T11" s="540"/>
      <c r="U11" s="540"/>
      <c r="V11" s="540"/>
      <c r="W11" s="540"/>
      <c r="X11" s="540"/>
      <c r="Y11" s="540"/>
      <c r="Z11" s="540"/>
      <c r="AB11" s="540"/>
      <c r="AC11" s="540"/>
      <c r="AD11" s="540"/>
      <c r="AE11" s="540"/>
      <c r="AF11" s="540"/>
      <c r="AG11" s="540"/>
      <c r="AH11" s="540"/>
      <c r="AI11" s="540"/>
      <c r="AJ11" s="540"/>
      <c r="AK11" s="540"/>
      <c r="AN11" s="613"/>
    </row>
    <row r="12" customHeight="1" spans="1:37">
      <c r="A12" s="510" t="s">
        <v>1206</v>
      </c>
      <c r="B12" s="476" t="s">
        <v>1207</v>
      </c>
      <c r="C12" s="210">
        <v>12</v>
      </c>
      <c r="D12" s="490" t="s">
        <v>1110</v>
      </c>
      <c r="F12" s="573" t="s">
        <v>1208</v>
      </c>
      <c r="G12" s="573"/>
      <c r="H12" s="573"/>
      <c r="I12" s="573"/>
      <c r="J12" s="603">
        <v>1.4</v>
      </c>
      <c r="K12" s="603">
        <v>1.6</v>
      </c>
      <c r="L12" s="603">
        <v>1.8</v>
      </c>
      <c r="M12" s="603">
        <v>1.6</v>
      </c>
      <c r="N12" s="603">
        <v>1.8</v>
      </c>
      <c r="O12" s="603">
        <v>2</v>
      </c>
      <c r="P12" s="540"/>
      <c r="Q12" s="540"/>
      <c r="R12" s="540"/>
      <c r="S12" s="540"/>
      <c r="T12" s="540"/>
      <c r="U12" s="540"/>
      <c r="V12" s="540"/>
      <c r="W12" s="540"/>
      <c r="X12" s="540"/>
      <c r="Y12" s="540"/>
      <c r="Z12" s="540"/>
      <c r="AA12" s="540"/>
      <c r="AB12" s="540"/>
      <c r="AC12" s="540"/>
      <c r="AD12" s="540"/>
      <c r="AE12" s="540"/>
      <c r="AF12" s="540"/>
      <c r="AG12" s="540"/>
      <c r="AH12" s="540"/>
      <c r="AI12" s="540"/>
      <c r="AJ12" s="540"/>
      <c r="AK12" s="540"/>
    </row>
    <row r="13" customHeight="1" spans="1:27">
      <c r="A13" s="510"/>
      <c r="B13" s="476" t="s">
        <v>1209</v>
      </c>
      <c r="C13" s="496">
        <f>C12*C7</f>
        <v>31.2</v>
      </c>
      <c r="D13" s="476" t="s">
        <v>1113</v>
      </c>
      <c r="F13" s="573"/>
      <c r="G13" s="573"/>
      <c r="H13" s="573"/>
      <c r="I13" s="573"/>
      <c r="J13" s="603"/>
      <c r="K13" s="603"/>
      <c r="L13" s="603"/>
      <c r="M13" s="603"/>
      <c r="N13" s="603"/>
      <c r="O13" s="603"/>
      <c r="AA13" s="540"/>
    </row>
    <row r="14" customHeight="1" spans="1:15">
      <c r="A14" s="510"/>
      <c r="B14" s="476" t="s">
        <v>1210</v>
      </c>
      <c r="C14" s="210">
        <v>31</v>
      </c>
      <c r="D14" s="476"/>
      <c r="F14" s="577" t="s">
        <v>1211</v>
      </c>
      <c r="G14" s="578"/>
      <c r="H14" s="578"/>
      <c r="I14" s="578"/>
      <c r="J14" s="601">
        <v>1.5</v>
      </c>
      <c r="K14" s="601">
        <v>1.7</v>
      </c>
      <c r="L14" s="601">
        <v>1.9</v>
      </c>
      <c r="M14" s="601">
        <v>1.7</v>
      </c>
      <c r="N14" s="601">
        <v>1.9</v>
      </c>
      <c r="O14" s="601">
        <v>2.1</v>
      </c>
    </row>
    <row r="15" customHeight="1" spans="1:15">
      <c r="A15" s="510"/>
      <c r="B15" s="476" t="s">
        <v>1212</v>
      </c>
      <c r="C15" s="109">
        <f>C12*C11/PI()</f>
        <v>36.3828199908073</v>
      </c>
      <c r="D15" s="579" t="s">
        <v>1213</v>
      </c>
      <c r="F15" s="578"/>
      <c r="G15" s="578"/>
      <c r="H15" s="578"/>
      <c r="I15" s="578"/>
      <c r="J15" s="601"/>
      <c r="K15" s="601"/>
      <c r="L15" s="601"/>
      <c r="M15" s="601"/>
      <c r="N15" s="601"/>
      <c r="O15" s="601"/>
    </row>
    <row r="16" customHeight="1" spans="1:15">
      <c r="A16" s="510"/>
      <c r="B16" s="476" t="s">
        <v>1214</v>
      </c>
      <c r="C16" s="109">
        <f>C14*C11/PI()</f>
        <v>93.9889516429188</v>
      </c>
      <c r="D16" s="579"/>
      <c r="F16" s="580" t="s">
        <v>1215</v>
      </c>
      <c r="G16" s="580"/>
      <c r="H16" s="580"/>
      <c r="I16" s="580"/>
      <c r="J16" s="603">
        <v>1.6</v>
      </c>
      <c r="K16" s="603">
        <v>1.8</v>
      </c>
      <c r="L16" s="603">
        <v>2</v>
      </c>
      <c r="M16" s="603">
        <v>1.8</v>
      </c>
      <c r="N16" s="603">
        <v>2</v>
      </c>
      <c r="O16" s="603">
        <v>2.2</v>
      </c>
    </row>
    <row r="17" ht="15" customHeight="1" spans="1:15">
      <c r="A17" s="510" t="s">
        <v>1216</v>
      </c>
      <c r="B17" s="476" t="s">
        <v>1217</v>
      </c>
      <c r="C17" s="109">
        <f>PI()*C15*C5/60/1000</f>
        <v>1.905</v>
      </c>
      <c r="D17" s="579"/>
      <c r="F17" s="580"/>
      <c r="G17" s="580"/>
      <c r="H17" s="580"/>
      <c r="I17" s="580"/>
      <c r="J17" s="603"/>
      <c r="K17" s="603"/>
      <c r="L17" s="603"/>
      <c r="M17" s="603"/>
      <c r="N17" s="603"/>
      <c r="O17" s="603"/>
    </row>
    <row r="18" ht="14.25" customHeight="1" spans="1:15">
      <c r="A18" s="510"/>
      <c r="B18" s="476" t="s">
        <v>1218</v>
      </c>
      <c r="C18" s="496">
        <f>IF(OR(C10=AA2,C10=AA3,C10=AA4),50,IF(OR(C10=AA5,C10=AA3,C10=AA6),40,IF(OR(C10=AA7,C10=AA3,C10=AA8),30,"请在C9选择带型")))</f>
        <v>40</v>
      </c>
      <c r="D18" s="579" t="s">
        <v>1219</v>
      </c>
      <c r="F18" s="580" t="s">
        <v>1220</v>
      </c>
      <c r="G18" s="580"/>
      <c r="H18" s="580"/>
      <c r="I18" s="580"/>
      <c r="J18" s="601">
        <v>1.7</v>
      </c>
      <c r="K18" s="601">
        <v>1.9</v>
      </c>
      <c r="L18" s="601">
        <v>2.1</v>
      </c>
      <c r="M18" s="601">
        <v>1.9</v>
      </c>
      <c r="N18" s="601">
        <v>2.1</v>
      </c>
      <c r="O18" s="601">
        <v>2.3</v>
      </c>
    </row>
    <row r="19" ht="15" customHeight="1" spans="1:15">
      <c r="A19" s="510"/>
      <c r="B19" s="581" t="str">
        <f>IF(OR((C17&lt;C18),(C17=C18)),"V≤Vmax","V＞Vmax")</f>
        <v>V≤Vmax</v>
      </c>
      <c r="C19" s="582" t="str">
        <f>IF(OR((C17&lt;C18),(C17=C18)),"校验合格","校验不合格")</f>
        <v>校验合格</v>
      </c>
      <c r="D19" s="490"/>
      <c r="F19" s="580"/>
      <c r="G19" s="580"/>
      <c r="H19" s="580"/>
      <c r="I19" s="580"/>
      <c r="J19" s="601"/>
      <c r="K19" s="601"/>
      <c r="L19" s="601"/>
      <c r="M19" s="601"/>
      <c r="N19" s="601"/>
      <c r="O19" s="601"/>
    </row>
    <row r="20" ht="14.25" customHeight="1" spans="1:15">
      <c r="A20" s="510" t="s">
        <v>1221</v>
      </c>
      <c r="B20" s="476" t="s">
        <v>1222</v>
      </c>
      <c r="C20" s="496">
        <f>2*C6+0.5*PI()*(C15+C16)+(C16-C15)^2/(4*C6)</f>
        <v>375.157707512251</v>
      </c>
      <c r="D20" s="476"/>
      <c r="F20" s="580" t="s">
        <v>1223</v>
      </c>
      <c r="G20" s="580"/>
      <c r="H20" s="580"/>
      <c r="I20" s="580"/>
      <c r="J20" s="603">
        <v>1.8</v>
      </c>
      <c r="K20" s="603">
        <v>2</v>
      </c>
      <c r="L20" s="603">
        <v>2.2</v>
      </c>
      <c r="M20" s="603">
        <v>2</v>
      </c>
      <c r="N20" s="603">
        <v>2.2</v>
      </c>
      <c r="O20" s="603">
        <v>2.4</v>
      </c>
    </row>
    <row r="21" ht="15" customHeight="1" spans="1:15">
      <c r="A21" s="510"/>
      <c r="B21" s="476" t="s">
        <v>1123</v>
      </c>
      <c r="C21" s="210">
        <v>381</v>
      </c>
      <c r="D21" s="583" t="s">
        <v>1124</v>
      </c>
      <c r="F21" s="580"/>
      <c r="G21" s="580"/>
      <c r="H21" s="580"/>
      <c r="I21" s="580"/>
      <c r="J21" s="603"/>
      <c r="K21" s="603"/>
      <c r="L21" s="603"/>
      <c r="M21" s="603"/>
      <c r="N21" s="603"/>
      <c r="O21" s="603"/>
    </row>
    <row r="22" ht="14.25" customHeight="1" spans="1:15">
      <c r="A22" s="510"/>
      <c r="B22" s="476" t="s">
        <v>1224</v>
      </c>
      <c r="C22" s="210">
        <v>40</v>
      </c>
      <c r="D22" s="583"/>
      <c r="F22" s="580" t="s">
        <v>1225</v>
      </c>
      <c r="G22" s="580"/>
      <c r="H22" s="580"/>
      <c r="I22" s="580"/>
      <c r="J22" s="601">
        <v>1.9</v>
      </c>
      <c r="K22" s="601">
        <v>2.1</v>
      </c>
      <c r="L22" s="601">
        <v>2.3</v>
      </c>
      <c r="M22" s="601">
        <v>2.1</v>
      </c>
      <c r="N22" s="601">
        <v>2.3</v>
      </c>
      <c r="O22" s="601">
        <v>2.5</v>
      </c>
    </row>
    <row r="23" ht="15" customHeight="1" spans="1:15">
      <c r="A23" s="510" t="s">
        <v>1226</v>
      </c>
      <c r="B23" s="476" t="s">
        <v>1227</v>
      </c>
      <c r="C23" s="496">
        <f>2*C21-(C12+C14)*C11</f>
        <v>352.425</v>
      </c>
      <c r="D23" s="583" t="s">
        <v>1228</v>
      </c>
      <c r="F23" s="580"/>
      <c r="G23" s="580"/>
      <c r="H23" s="580"/>
      <c r="I23" s="580"/>
      <c r="J23" s="601"/>
      <c r="K23" s="601"/>
      <c r="L23" s="601"/>
      <c r="M23" s="601"/>
      <c r="N23" s="601"/>
      <c r="O23" s="601"/>
    </row>
    <row r="24" ht="17.4" spans="1:4">
      <c r="A24" s="510"/>
      <c r="B24" s="476" t="s">
        <v>1229</v>
      </c>
      <c r="C24" s="584">
        <f>(C23+(C23^2-8*(C16-C15)^2)^0.5)/8</f>
        <v>83.1155048785427</v>
      </c>
      <c r="D24" s="583" t="s">
        <v>1230</v>
      </c>
    </row>
    <row r="25" ht="14.4" spans="1:6">
      <c r="A25" s="484" t="s">
        <v>1231</v>
      </c>
      <c r="B25" s="476" t="s">
        <v>1232</v>
      </c>
      <c r="C25" s="496">
        <f>0.5*C12-C12*C11*(C14-C12)/(2*C24*(PI())^2)</f>
        <v>4.67630465075313</v>
      </c>
      <c r="D25" s="490"/>
      <c r="F25" t="s">
        <v>1233</v>
      </c>
    </row>
    <row r="26" ht="14.4" spans="1:21">
      <c r="A26" s="489"/>
      <c r="B26" s="476" t="s">
        <v>1234</v>
      </c>
      <c r="C26" s="496">
        <f>IF(C25&lt;6,1-0.2*(6-C25),1)</f>
        <v>0.735260930150626</v>
      </c>
      <c r="D26" s="490"/>
      <c r="N26" s="604" t="s">
        <v>1235</v>
      </c>
      <c r="O26" s="488" t="s">
        <v>1188</v>
      </c>
      <c r="P26" s="488" t="s">
        <v>1190</v>
      </c>
      <c r="Q26" s="488" t="s">
        <v>1192</v>
      </c>
      <c r="R26" s="488" t="s">
        <v>1196</v>
      </c>
      <c r="S26" s="488" t="s">
        <v>1199</v>
      </c>
      <c r="T26" s="488" t="s">
        <v>1200</v>
      </c>
      <c r="U26" s="488" t="s">
        <v>1202</v>
      </c>
    </row>
    <row r="27" ht="14.4" spans="1:21">
      <c r="A27" s="489"/>
      <c r="B27" s="476" t="s">
        <v>1236</v>
      </c>
      <c r="C27" s="91">
        <v>0.47</v>
      </c>
      <c r="D27" s="490" t="s">
        <v>1237</v>
      </c>
      <c r="N27" s="604" t="s">
        <v>1238</v>
      </c>
      <c r="O27" s="488">
        <v>2.032</v>
      </c>
      <c r="P27" s="488">
        <v>3.175</v>
      </c>
      <c r="Q27" s="488">
        <v>5.08</v>
      </c>
      <c r="R27" s="488">
        <v>9.525</v>
      </c>
      <c r="S27" s="488">
        <v>12.7</v>
      </c>
      <c r="T27" s="488">
        <v>22.225</v>
      </c>
      <c r="U27" s="488">
        <v>31.75</v>
      </c>
    </row>
    <row r="28" ht="13.8" spans="1:21">
      <c r="A28" s="489"/>
      <c r="B28" s="476" t="s">
        <v>1239</v>
      </c>
      <c r="C28" s="91">
        <v>25.4</v>
      </c>
      <c r="D28" s="490"/>
      <c r="N28" s="488" t="s">
        <v>1240</v>
      </c>
      <c r="O28" s="478" t="s">
        <v>1241</v>
      </c>
      <c r="P28" s="478"/>
      <c r="Q28" s="478"/>
      <c r="R28" s="478" t="s">
        <v>1242</v>
      </c>
      <c r="S28" s="478"/>
      <c r="T28" s="478" t="s">
        <v>1243</v>
      </c>
      <c r="U28" s="478"/>
    </row>
    <row r="29" ht="14.4" spans="1:20">
      <c r="A29" s="489"/>
      <c r="B29" s="476" t="s">
        <v>1244</v>
      </c>
      <c r="C29" s="496">
        <f>C28*(C9/(C26*C27))^(1/1.14)</f>
        <v>10.043567757399</v>
      </c>
      <c r="D29" s="496"/>
      <c r="N29" s="605" t="s">
        <v>1245</v>
      </c>
      <c r="T29" s="605" t="s">
        <v>1246</v>
      </c>
    </row>
    <row r="30" ht="14.4" spans="1:4">
      <c r="A30" s="492"/>
      <c r="B30" s="499" t="s">
        <v>1247</v>
      </c>
      <c r="C30" s="584">
        <v>12.7</v>
      </c>
      <c r="D30" s="476" t="s">
        <v>1248</v>
      </c>
    </row>
    <row r="31" ht="14.4" spans="1:4">
      <c r="A31" s="512" t="s">
        <v>1249</v>
      </c>
      <c r="B31" s="585" t="s">
        <v>1250</v>
      </c>
      <c r="C31" s="586" t="s">
        <v>1251</v>
      </c>
      <c r="D31" s="587" t="s">
        <v>1252</v>
      </c>
    </row>
    <row r="32" ht="14.25" customHeight="1" spans="1:3">
      <c r="A32" s="474"/>
      <c r="B32" s="474"/>
      <c r="C32" s="475"/>
    </row>
    <row r="33" ht="14.25" customHeight="1" spans="1:4">
      <c r="A33" s="516" t="s">
        <v>1253</v>
      </c>
      <c r="B33" s="516"/>
      <c r="C33" s="516"/>
      <c r="D33" s="516"/>
    </row>
    <row r="34" ht="13.8" spans="1:4">
      <c r="A34" s="519"/>
      <c r="B34" s="519"/>
      <c r="C34" s="519"/>
      <c r="D34" s="519"/>
    </row>
    <row r="35" ht="13.8" spans="1:4">
      <c r="A35" s="519"/>
      <c r="B35" s="519"/>
      <c r="C35" s="519"/>
      <c r="D35" s="519"/>
    </row>
    <row r="36" ht="13.8" spans="1:4">
      <c r="A36" s="519"/>
      <c r="B36" s="519"/>
      <c r="C36" s="519"/>
      <c r="D36" s="519"/>
    </row>
    <row r="37" ht="13.8" spans="1:4">
      <c r="A37" s="519"/>
      <c r="B37" s="519"/>
      <c r="C37" s="519"/>
      <c r="D37" s="519"/>
    </row>
    <row r="38" ht="13.8" spans="1:4">
      <c r="A38" s="519"/>
      <c r="B38" s="519"/>
      <c r="C38" s="519"/>
      <c r="D38" s="519"/>
    </row>
    <row r="39" ht="13.8" spans="1:4">
      <c r="A39" s="519"/>
      <c r="B39" s="519"/>
      <c r="C39" s="519"/>
      <c r="D39" s="519"/>
    </row>
    <row r="40" ht="14.25" customHeight="1" spans="1:4">
      <c r="A40" s="519"/>
      <c r="B40" s="519"/>
      <c r="C40" s="519"/>
      <c r="D40" s="519"/>
    </row>
    <row r="41" ht="13.8" spans="1:4">
      <c r="A41" s="519"/>
      <c r="B41" s="519"/>
      <c r="C41" s="519"/>
      <c r="D41" s="519"/>
    </row>
    <row r="42" ht="13.8" spans="1:4">
      <c r="A42" s="519"/>
      <c r="B42" s="519"/>
      <c r="C42" s="519"/>
      <c r="D42" s="519"/>
    </row>
    <row r="43" ht="14.4" spans="1:6">
      <c r="A43" s="519"/>
      <c r="B43" s="519"/>
      <c r="C43" s="519"/>
      <c r="D43" s="519"/>
      <c r="F43" t="s">
        <v>1254</v>
      </c>
    </row>
    <row r="44" ht="15.6" spans="1:14">
      <c r="A44" s="519"/>
      <c r="B44" s="519"/>
      <c r="C44" s="519"/>
      <c r="D44" s="519"/>
      <c r="F44" s="588" t="s">
        <v>1255</v>
      </c>
      <c r="G44" s="589"/>
      <c r="H44" s="590" t="s">
        <v>1256</v>
      </c>
      <c r="I44" s="590"/>
      <c r="J44" s="590"/>
      <c r="K44" s="590"/>
      <c r="L44" s="590"/>
      <c r="M44" s="590"/>
      <c r="N44" s="590"/>
    </row>
    <row r="45" ht="15" spans="1:14">
      <c r="A45" s="519"/>
      <c r="B45" s="519"/>
      <c r="C45" s="519"/>
      <c r="D45" s="519"/>
      <c r="F45" s="589"/>
      <c r="G45" s="589"/>
      <c r="H45" s="591" t="s">
        <v>1188</v>
      </c>
      <c r="I45" s="591" t="s">
        <v>1190</v>
      </c>
      <c r="J45" s="591" t="s">
        <v>1192</v>
      </c>
      <c r="K45" s="591" t="s">
        <v>1196</v>
      </c>
      <c r="L45" s="591" t="s">
        <v>1199</v>
      </c>
      <c r="M45" s="591" t="s">
        <v>1200</v>
      </c>
      <c r="N45" s="591" t="s">
        <v>1202</v>
      </c>
    </row>
    <row r="46" ht="15.6" spans="1:14">
      <c r="A46" s="519"/>
      <c r="B46" s="519"/>
      <c r="C46" s="519"/>
      <c r="D46" s="519"/>
      <c r="F46" s="589" t="s">
        <v>1257</v>
      </c>
      <c r="G46" s="589"/>
      <c r="H46" s="592">
        <v>10</v>
      </c>
      <c r="I46" s="592">
        <v>10</v>
      </c>
      <c r="J46" s="592">
        <v>10</v>
      </c>
      <c r="K46" s="592">
        <v>12</v>
      </c>
      <c r="L46" s="592">
        <v>14</v>
      </c>
      <c r="M46" s="592">
        <v>22</v>
      </c>
      <c r="N46" s="592">
        <v>22</v>
      </c>
    </row>
    <row r="47" ht="15" spans="1:14">
      <c r="A47" s="519"/>
      <c r="B47" s="519"/>
      <c r="C47" s="519"/>
      <c r="D47" s="519"/>
      <c r="F47" s="589" t="s">
        <v>1258</v>
      </c>
      <c r="G47" s="589"/>
      <c r="H47" s="591">
        <v>12</v>
      </c>
      <c r="I47" s="591">
        <v>12</v>
      </c>
      <c r="J47" s="591">
        <v>10</v>
      </c>
      <c r="K47" s="591">
        <v>12</v>
      </c>
      <c r="L47" s="591">
        <v>16</v>
      </c>
      <c r="M47" s="591">
        <v>24</v>
      </c>
      <c r="N47" s="591">
        <v>24</v>
      </c>
    </row>
    <row r="48" ht="15" spans="1:14">
      <c r="A48" s="519"/>
      <c r="B48" s="519"/>
      <c r="C48" s="519"/>
      <c r="D48" s="519"/>
      <c r="F48" s="589" t="s">
        <v>1259</v>
      </c>
      <c r="G48" s="589"/>
      <c r="H48" s="592">
        <v>14</v>
      </c>
      <c r="I48" s="592">
        <v>14</v>
      </c>
      <c r="J48" s="592">
        <v>12</v>
      </c>
      <c r="K48" s="592">
        <v>14</v>
      </c>
      <c r="L48" s="592">
        <v>18</v>
      </c>
      <c r="M48" s="592">
        <v>26</v>
      </c>
      <c r="N48" s="592">
        <v>26</v>
      </c>
    </row>
    <row r="49" ht="15" spans="1:14">
      <c r="A49" s="519"/>
      <c r="B49" s="519"/>
      <c r="C49" s="519"/>
      <c r="D49" s="519"/>
      <c r="F49" s="589" t="s">
        <v>1260</v>
      </c>
      <c r="G49" s="589"/>
      <c r="H49" s="591">
        <v>16</v>
      </c>
      <c r="I49" s="591">
        <v>16</v>
      </c>
      <c r="J49" s="591">
        <v>12</v>
      </c>
      <c r="K49" s="591">
        <v>16</v>
      </c>
      <c r="L49" s="591">
        <v>20</v>
      </c>
      <c r="M49" s="591">
        <v>30</v>
      </c>
      <c r="N49" s="591"/>
    </row>
    <row r="50" ht="15" spans="1:14">
      <c r="A50" s="519"/>
      <c r="B50" s="519"/>
      <c r="C50" s="519"/>
      <c r="D50" s="519"/>
      <c r="F50" s="589" t="s">
        <v>1261</v>
      </c>
      <c r="G50" s="589"/>
      <c r="H50" s="592">
        <v>18</v>
      </c>
      <c r="I50" s="592">
        <v>18</v>
      </c>
      <c r="J50" s="592">
        <v>15</v>
      </c>
      <c r="K50" s="592">
        <v>18</v>
      </c>
      <c r="L50" s="592">
        <v>22</v>
      </c>
      <c r="M50" s="592"/>
      <c r="N50" s="592"/>
    </row>
    <row r="51" ht="13.8" spans="1:12">
      <c r="A51" s="519"/>
      <c r="B51" s="519"/>
      <c r="C51" s="519"/>
      <c r="D51" s="519"/>
      <c r="G51" s="593"/>
      <c r="H51" s="593"/>
      <c r="I51" s="593"/>
      <c r="J51" s="593"/>
      <c r="K51" s="593"/>
      <c r="L51" s="593"/>
    </row>
    <row r="52" ht="14.4" spans="1:20">
      <c r="A52" s="519"/>
      <c r="B52" s="519"/>
      <c r="C52" s="519"/>
      <c r="D52" s="519"/>
      <c r="F52" t="s">
        <v>1262</v>
      </c>
      <c r="G52" s="593"/>
      <c r="H52" s="593"/>
      <c r="I52" s="593"/>
      <c r="J52" s="593"/>
      <c r="K52" s="593"/>
      <c r="L52" s="593"/>
      <c r="T52" t="s">
        <v>1263</v>
      </c>
    </row>
    <row r="53" ht="13.8" spans="1:12">
      <c r="A53" s="519"/>
      <c r="B53" s="519"/>
      <c r="C53" s="519"/>
      <c r="D53" s="519"/>
      <c r="G53" s="593"/>
      <c r="H53" s="593"/>
      <c r="I53" s="593"/>
      <c r="J53" s="593"/>
      <c r="K53" s="593"/>
      <c r="L53" s="593"/>
    </row>
    <row r="54" ht="14.25" customHeight="1" spans="1:12">
      <c r="A54" s="522"/>
      <c r="B54" s="522"/>
      <c r="C54" s="522"/>
      <c r="D54" s="522"/>
      <c r="G54" s="593"/>
      <c r="H54" s="593"/>
      <c r="I54" s="593"/>
      <c r="J54" s="593"/>
      <c r="K54" s="593"/>
      <c r="L54" s="593"/>
    </row>
    <row r="55" ht="14.25" customHeight="1" spans="1:12">
      <c r="A55" s="524" t="s">
        <v>1264</v>
      </c>
      <c r="B55" s="525"/>
      <c r="C55" s="525"/>
      <c r="D55" s="526"/>
      <c r="G55" s="593"/>
      <c r="H55" s="593"/>
      <c r="I55" s="593"/>
      <c r="J55" s="593"/>
      <c r="K55" s="593"/>
      <c r="L55" s="593"/>
    </row>
    <row r="56" ht="14.25" customHeight="1" spans="1:12">
      <c r="A56" s="527"/>
      <c r="B56" s="528"/>
      <c r="C56" s="528"/>
      <c r="D56" s="529"/>
      <c r="G56" s="593"/>
      <c r="H56" s="593"/>
      <c r="I56" s="593"/>
      <c r="J56" s="593"/>
      <c r="K56" s="593"/>
      <c r="L56" s="593"/>
    </row>
    <row r="57" ht="13.8" spans="1:12">
      <c r="A57" s="527"/>
      <c r="B57" s="528"/>
      <c r="C57" s="528"/>
      <c r="D57" s="529"/>
      <c r="G57" s="593"/>
      <c r="H57" s="593"/>
      <c r="I57" s="593"/>
      <c r="J57" s="593"/>
      <c r="K57" s="593"/>
      <c r="L57" s="593"/>
    </row>
    <row r="58" ht="13.8" spans="1:12">
      <c r="A58" s="527"/>
      <c r="B58" s="528"/>
      <c r="C58" s="528"/>
      <c r="D58" s="529"/>
      <c r="G58" s="593"/>
      <c r="H58" s="593"/>
      <c r="I58" s="593"/>
      <c r="J58" s="593"/>
      <c r="K58" s="593"/>
      <c r="L58" s="593"/>
    </row>
    <row r="59" ht="13.8" spans="1:12">
      <c r="A59" s="527"/>
      <c r="B59" s="528"/>
      <c r="C59" s="528"/>
      <c r="D59" s="529"/>
      <c r="G59" s="593"/>
      <c r="H59" s="593"/>
      <c r="I59" s="593"/>
      <c r="J59" s="593"/>
      <c r="K59" s="593"/>
      <c r="L59" s="593"/>
    </row>
    <row r="60" ht="13.8" spans="1:12">
      <c r="A60" s="527"/>
      <c r="B60" s="528"/>
      <c r="C60" s="528"/>
      <c r="D60" s="529"/>
      <c r="G60" s="593"/>
      <c r="H60" s="593"/>
      <c r="I60" s="593"/>
      <c r="J60" s="593"/>
      <c r="K60" s="593"/>
      <c r="L60" s="593"/>
    </row>
    <row r="61" ht="14.55" spans="1:12">
      <c r="A61" s="530"/>
      <c r="B61" s="531"/>
      <c r="C61" s="531"/>
      <c r="D61" s="532"/>
      <c r="G61" s="593"/>
      <c r="H61" s="593"/>
      <c r="I61" s="593"/>
      <c r="J61" s="593"/>
      <c r="K61" s="593"/>
      <c r="L61" s="593"/>
    </row>
    <row r="62" ht="13.8" spans="7:12">
      <c r="G62" s="593"/>
      <c r="H62" s="593"/>
      <c r="I62" s="593"/>
      <c r="J62" s="593"/>
      <c r="K62" s="593"/>
      <c r="L62" s="593"/>
    </row>
    <row r="63" ht="13.8"/>
    <row r="64" ht="14.4" spans="6:6">
      <c r="F64" t="s">
        <v>1265</v>
      </c>
    </row>
    <row r="65" ht="15.6" spans="6:19">
      <c r="F65" s="614"/>
      <c r="G65" s="615"/>
      <c r="H65" s="616"/>
      <c r="I65" s="616"/>
      <c r="J65" s="616"/>
      <c r="K65" s="616"/>
      <c r="L65" s="616"/>
      <c r="M65" s="616"/>
      <c r="N65" s="616"/>
      <c r="O65" s="614"/>
      <c r="P65" s="615"/>
      <c r="Q65" s="616"/>
      <c r="R65" s="616"/>
      <c r="S65" s="616"/>
    </row>
    <row r="66" ht="15.6" spans="6:19">
      <c r="F66" s="614"/>
      <c r="G66" s="615"/>
      <c r="H66" s="616"/>
      <c r="I66" s="616"/>
      <c r="J66" s="616"/>
      <c r="K66" s="616"/>
      <c r="L66" s="616"/>
      <c r="M66" s="616"/>
      <c r="N66" s="616"/>
      <c r="O66" s="614"/>
      <c r="P66" s="615"/>
      <c r="Q66" s="616"/>
      <c r="R66" s="616"/>
      <c r="S66" s="616"/>
    </row>
    <row r="67" ht="15.6" spans="6:19">
      <c r="F67" s="614"/>
      <c r="G67" s="617"/>
      <c r="H67" s="617"/>
      <c r="I67" s="638"/>
      <c r="J67" s="638"/>
      <c r="K67" s="638"/>
      <c r="L67" s="638"/>
      <c r="M67" s="638"/>
      <c r="N67" s="638"/>
      <c r="O67" s="616"/>
      <c r="P67" s="617"/>
      <c r="Q67" s="638"/>
      <c r="R67" s="638"/>
      <c r="S67" s="638"/>
    </row>
    <row r="68" ht="15.6" spans="6:19">
      <c r="F68" s="614"/>
      <c r="G68" s="617"/>
      <c r="H68" s="617"/>
      <c r="I68" s="638"/>
      <c r="J68" s="638"/>
      <c r="K68" s="638"/>
      <c r="L68" s="638"/>
      <c r="M68" s="638"/>
      <c r="N68" s="638"/>
      <c r="O68" s="616"/>
      <c r="P68" s="617"/>
      <c r="Q68" s="638"/>
      <c r="R68" s="638"/>
      <c r="S68" s="638"/>
    </row>
    <row r="69" ht="15.6" spans="6:19">
      <c r="F69" s="614"/>
      <c r="G69" s="617"/>
      <c r="H69" s="617"/>
      <c r="I69" s="638"/>
      <c r="J69" s="638"/>
      <c r="K69" s="638"/>
      <c r="L69" s="638"/>
      <c r="M69" s="638"/>
      <c r="N69" s="638"/>
      <c r="O69" s="616"/>
      <c r="P69" s="617"/>
      <c r="Q69" s="638"/>
      <c r="R69" s="638"/>
      <c r="S69" s="638"/>
    </row>
    <row r="70" ht="15.6" spans="6:19">
      <c r="F70" s="614"/>
      <c r="G70" s="617"/>
      <c r="H70" s="617"/>
      <c r="I70" s="638"/>
      <c r="J70" s="638"/>
      <c r="K70" s="638"/>
      <c r="L70" s="638"/>
      <c r="M70" s="638"/>
      <c r="N70" s="638"/>
      <c r="O70" s="616"/>
      <c r="P70" s="617"/>
      <c r="Q70" s="638"/>
      <c r="R70" s="638"/>
      <c r="S70" s="638"/>
    </row>
    <row r="71" ht="15.6" spans="6:19">
      <c r="F71" s="614"/>
      <c r="G71" s="617"/>
      <c r="H71" s="617"/>
      <c r="I71" s="638"/>
      <c r="J71" s="638"/>
      <c r="K71" s="638"/>
      <c r="L71" s="638"/>
      <c r="M71" s="638"/>
      <c r="N71" s="638"/>
      <c r="O71" s="616"/>
      <c r="P71" s="617"/>
      <c r="Q71" s="638"/>
      <c r="R71" s="638"/>
      <c r="S71" s="638"/>
    </row>
    <row r="72" ht="15.6" spans="6:19">
      <c r="F72" s="614"/>
      <c r="G72" s="617"/>
      <c r="H72" s="617"/>
      <c r="I72" s="638"/>
      <c r="J72" s="638"/>
      <c r="K72" s="638"/>
      <c r="L72" s="638"/>
      <c r="M72" s="638"/>
      <c r="N72" s="638"/>
      <c r="O72" s="616"/>
      <c r="P72" s="617"/>
      <c r="Q72" s="638"/>
      <c r="R72" s="638"/>
      <c r="S72" s="638"/>
    </row>
    <row r="73" ht="15.6" spans="6:19">
      <c r="F73" s="614"/>
      <c r="G73" s="617"/>
      <c r="H73" s="617"/>
      <c r="I73" s="638"/>
      <c r="J73" s="638"/>
      <c r="K73" s="638"/>
      <c r="L73" s="638"/>
      <c r="M73" s="638"/>
      <c r="N73" s="638"/>
      <c r="O73" s="616"/>
      <c r="P73" s="617"/>
      <c r="Q73" s="638"/>
      <c r="R73" s="638"/>
      <c r="S73" s="638"/>
    </row>
    <row r="74" ht="15.6" spans="6:19">
      <c r="F74" s="614"/>
      <c r="G74" s="617"/>
      <c r="H74" s="617"/>
      <c r="I74" s="638"/>
      <c r="J74" s="638"/>
      <c r="K74" s="638"/>
      <c r="L74" s="638"/>
      <c r="M74" s="638"/>
      <c r="N74" s="638"/>
      <c r="O74" s="616"/>
      <c r="P74" s="617"/>
      <c r="Q74" s="638"/>
      <c r="R74" s="638"/>
      <c r="S74" s="638"/>
    </row>
    <row r="75" ht="15.6" spans="6:19">
      <c r="F75" s="614"/>
      <c r="G75" s="617"/>
      <c r="H75" s="617"/>
      <c r="I75" s="638"/>
      <c r="J75" s="638"/>
      <c r="K75" s="638"/>
      <c r="L75" s="638"/>
      <c r="M75" s="638"/>
      <c r="N75" s="638"/>
      <c r="O75" s="616"/>
      <c r="P75" s="617"/>
      <c r="Q75" s="638"/>
      <c r="R75" s="638"/>
      <c r="S75" s="638"/>
    </row>
    <row r="76" ht="15.6" spans="6:19">
      <c r="F76" s="614"/>
      <c r="G76" s="617"/>
      <c r="H76" s="617"/>
      <c r="I76" s="638"/>
      <c r="J76" s="638"/>
      <c r="K76" s="638"/>
      <c r="L76" s="638"/>
      <c r="M76" s="638"/>
      <c r="N76" s="638"/>
      <c r="O76" s="616"/>
      <c r="P76" s="617"/>
      <c r="Q76" s="638"/>
      <c r="R76" s="638"/>
      <c r="S76" s="638"/>
    </row>
    <row r="77" ht="15.6" spans="6:19">
      <c r="F77" s="614"/>
      <c r="G77" s="617"/>
      <c r="H77" s="617"/>
      <c r="I77" s="638"/>
      <c r="J77" s="638"/>
      <c r="K77" s="638"/>
      <c r="L77" s="638"/>
      <c r="M77" s="638"/>
      <c r="N77" s="638"/>
      <c r="O77" s="616"/>
      <c r="P77" s="617"/>
      <c r="Q77" s="638"/>
      <c r="R77" s="638"/>
      <c r="S77" s="638"/>
    </row>
    <row r="78" ht="15.6" spans="6:19">
      <c r="F78" s="614"/>
      <c r="G78" s="617"/>
      <c r="H78" s="617"/>
      <c r="I78" s="638"/>
      <c r="J78" s="638"/>
      <c r="K78" s="638"/>
      <c r="L78" s="638"/>
      <c r="M78" s="638"/>
      <c r="N78" s="638"/>
      <c r="O78" s="616"/>
      <c r="P78" s="617"/>
      <c r="Q78" s="638"/>
      <c r="R78" s="638"/>
      <c r="S78" s="638"/>
    </row>
    <row r="79" ht="15.6" spans="6:19">
      <c r="F79" s="614"/>
      <c r="G79" s="617"/>
      <c r="H79" s="617"/>
      <c r="I79" s="638"/>
      <c r="J79" s="638"/>
      <c r="K79" s="638"/>
      <c r="L79" s="638"/>
      <c r="M79" s="638"/>
      <c r="N79" s="638"/>
      <c r="O79" s="616"/>
      <c r="P79" s="617"/>
      <c r="Q79" s="638"/>
      <c r="R79" s="638"/>
      <c r="S79" s="638"/>
    </row>
    <row r="80" ht="15.6" spans="6:19">
      <c r="F80" s="614"/>
      <c r="G80" s="617"/>
      <c r="H80" s="617"/>
      <c r="I80" s="638"/>
      <c r="J80" s="638"/>
      <c r="K80" s="638"/>
      <c r="L80" s="638"/>
      <c r="M80" s="638"/>
      <c r="N80" s="638"/>
      <c r="O80" s="616"/>
      <c r="P80" s="617"/>
      <c r="Q80" s="638"/>
      <c r="R80" s="638"/>
      <c r="S80" s="638"/>
    </row>
    <row r="81" ht="15.6" spans="6:19">
      <c r="F81" s="614"/>
      <c r="G81" s="617"/>
      <c r="H81" s="617"/>
      <c r="I81" s="638"/>
      <c r="J81" s="638"/>
      <c r="K81" s="638"/>
      <c r="L81" s="638"/>
      <c r="M81" s="638"/>
      <c r="N81" s="638"/>
      <c r="O81" s="616"/>
      <c r="P81" s="617"/>
      <c r="Q81" s="638"/>
      <c r="R81" s="638"/>
      <c r="S81" s="638"/>
    </row>
    <row r="82" ht="15.6" spans="6:19">
      <c r="F82" s="614"/>
      <c r="G82" s="617"/>
      <c r="H82" s="617"/>
      <c r="I82" s="638"/>
      <c r="J82" s="638"/>
      <c r="K82" s="638"/>
      <c r="L82" s="638"/>
      <c r="M82" s="638"/>
      <c r="N82" s="638"/>
      <c r="O82" s="616"/>
      <c r="P82" s="617"/>
      <c r="Q82" s="638"/>
      <c r="R82" s="638"/>
      <c r="S82" s="638"/>
    </row>
    <row r="83" ht="15.6" spans="6:19">
      <c r="F83" s="614"/>
      <c r="G83" s="617"/>
      <c r="H83" s="617"/>
      <c r="I83" s="638"/>
      <c r="J83" s="638"/>
      <c r="K83" s="638"/>
      <c r="L83" s="638"/>
      <c r="M83" s="638"/>
      <c r="N83" s="638"/>
      <c r="O83" s="616"/>
      <c r="P83" s="617"/>
      <c r="Q83" s="638"/>
      <c r="R83" s="638"/>
      <c r="S83" s="638"/>
    </row>
    <row r="84" ht="15.6" spans="6:19">
      <c r="F84" s="614"/>
      <c r="G84" s="617"/>
      <c r="H84" s="617"/>
      <c r="I84" s="638"/>
      <c r="J84" s="638"/>
      <c r="K84" s="638"/>
      <c r="L84" s="638"/>
      <c r="M84" s="638"/>
      <c r="N84" s="638"/>
      <c r="O84" s="616"/>
      <c r="P84" s="617"/>
      <c r="Q84" s="638"/>
      <c r="R84" s="638"/>
      <c r="S84" s="638"/>
    </row>
    <row r="85" ht="15.6" spans="6:19">
      <c r="F85" s="614"/>
      <c r="G85" s="617"/>
      <c r="H85" s="617"/>
      <c r="I85" s="638"/>
      <c r="J85" s="638"/>
      <c r="K85" s="638"/>
      <c r="L85" s="638"/>
      <c r="M85" s="638"/>
      <c r="N85" s="638"/>
      <c r="O85" s="616"/>
      <c r="P85" s="617"/>
      <c r="Q85" s="638"/>
      <c r="R85" s="638"/>
      <c r="S85" s="638"/>
    </row>
    <row r="86" ht="15.6" spans="6:19">
      <c r="F86" s="614"/>
      <c r="G86" s="617"/>
      <c r="H86" s="617"/>
      <c r="I86" s="638"/>
      <c r="J86" s="638"/>
      <c r="K86" s="638"/>
      <c r="L86" s="638"/>
      <c r="M86" s="638"/>
      <c r="N86" s="638"/>
      <c r="O86" s="616"/>
      <c r="P86" s="617"/>
      <c r="Q86" s="638"/>
      <c r="R86" s="638"/>
      <c r="S86" s="638"/>
    </row>
    <row r="87" ht="15.6" spans="6:19">
      <c r="F87" s="614"/>
      <c r="G87" s="617"/>
      <c r="H87" s="617"/>
      <c r="I87" s="638"/>
      <c r="J87" s="638"/>
      <c r="K87" s="638"/>
      <c r="L87" s="638"/>
      <c r="M87" s="638"/>
      <c r="N87" s="638"/>
      <c r="O87" s="616"/>
      <c r="P87" s="617"/>
      <c r="Q87" s="638"/>
      <c r="R87" s="638"/>
      <c r="S87" s="638"/>
    </row>
    <row r="88" ht="15.6" spans="6:19">
      <c r="F88" s="614"/>
      <c r="G88" s="617"/>
      <c r="H88" s="617"/>
      <c r="I88" s="638"/>
      <c r="J88" s="638"/>
      <c r="K88" s="638"/>
      <c r="L88" s="638"/>
      <c r="M88" s="638"/>
      <c r="N88" s="638"/>
      <c r="O88" s="616"/>
      <c r="P88" s="617"/>
      <c r="Q88" s="638"/>
      <c r="R88" s="638"/>
      <c r="S88" s="638"/>
    </row>
    <row r="89" ht="15.6" spans="6:19">
      <c r="F89" s="614"/>
      <c r="G89" s="617"/>
      <c r="H89" s="617"/>
      <c r="I89" s="638"/>
      <c r="J89" s="638"/>
      <c r="K89" s="638"/>
      <c r="L89" s="638"/>
      <c r="M89" s="638"/>
      <c r="N89" s="638"/>
      <c r="O89" s="616"/>
      <c r="P89" s="617"/>
      <c r="Q89" s="638"/>
      <c r="R89" s="638"/>
      <c r="S89" s="638"/>
    </row>
    <row r="90" ht="15.6" spans="6:19">
      <c r="F90" s="614"/>
      <c r="G90" s="617"/>
      <c r="H90" s="617"/>
      <c r="I90" s="638"/>
      <c r="J90" s="638"/>
      <c r="K90" s="638"/>
      <c r="L90" s="638"/>
      <c r="M90" s="638"/>
      <c r="N90" s="638"/>
      <c r="O90" s="616"/>
      <c r="P90" s="617"/>
      <c r="Q90" s="638"/>
      <c r="R90" s="638"/>
      <c r="S90" s="638"/>
    </row>
    <row r="91" ht="15.6" spans="6:19">
      <c r="F91" s="614"/>
      <c r="G91" s="617"/>
      <c r="H91" s="617"/>
      <c r="I91" s="638"/>
      <c r="J91" s="638"/>
      <c r="K91" s="638"/>
      <c r="L91" s="638"/>
      <c r="M91" s="638"/>
      <c r="N91" s="638"/>
      <c r="O91" s="616"/>
      <c r="P91" s="617"/>
      <c r="Q91" s="638"/>
      <c r="R91" s="638"/>
      <c r="S91" s="638"/>
    </row>
    <row r="92" ht="15.6" spans="6:19">
      <c r="F92" s="614"/>
      <c r="G92" s="617"/>
      <c r="H92" s="617"/>
      <c r="I92" s="638"/>
      <c r="J92" s="638"/>
      <c r="K92" s="638"/>
      <c r="L92" s="638"/>
      <c r="M92" s="638"/>
      <c r="N92" s="638"/>
      <c r="O92" s="616"/>
      <c r="P92" s="617"/>
      <c r="Q92" s="638"/>
      <c r="R92" s="638"/>
      <c r="S92" s="638"/>
    </row>
    <row r="93" ht="14.25" customHeight="1" spans="6:19">
      <c r="F93" s="614"/>
      <c r="G93" s="617"/>
      <c r="H93" s="617"/>
      <c r="I93" s="638"/>
      <c r="J93" s="638"/>
      <c r="K93" s="638"/>
      <c r="L93" s="638"/>
      <c r="M93" s="638"/>
      <c r="N93" s="638"/>
      <c r="O93" s="616"/>
      <c r="P93" s="617"/>
      <c r="Q93" s="638"/>
      <c r="R93" s="638"/>
      <c r="S93" s="638"/>
    </row>
    <row r="94" ht="15.6" spans="6:19">
      <c r="F94" s="614"/>
      <c r="G94" s="617"/>
      <c r="H94" s="617"/>
      <c r="I94" s="638"/>
      <c r="J94" s="638"/>
      <c r="K94" s="638"/>
      <c r="L94" s="638"/>
      <c r="M94" s="638"/>
      <c r="N94" s="638"/>
      <c r="O94" s="616"/>
      <c r="P94" s="617"/>
      <c r="Q94" s="638"/>
      <c r="R94" s="638"/>
      <c r="S94" s="638"/>
    </row>
    <row r="95" ht="15.6" spans="6:19">
      <c r="F95" s="614"/>
      <c r="G95" s="617"/>
      <c r="H95" s="617"/>
      <c r="I95" s="638"/>
      <c r="J95" s="638"/>
      <c r="K95" s="638"/>
      <c r="L95" s="638"/>
      <c r="M95" s="638"/>
      <c r="N95" s="638"/>
      <c r="O95" s="616"/>
      <c r="P95" s="617"/>
      <c r="Q95" s="638"/>
      <c r="R95" s="638"/>
      <c r="S95" s="638"/>
    </row>
    <row r="96" ht="15.6" spans="6:19">
      <c r="F96" s="614"/>
      <c r="G96" s="617"/>
      <c r="H96" s="617"/>
      <c r="I96" s="638"/>
      <c r="J96" s="638"/>
      <c r="K96" s="638"/>
      <c r="L96" s="638"/>
      <c r="M96" s="638"/>
      <c r="N96" s="638"/>
      <c r="O96" s="616"/>
      <c r="P96" s="617"/>
      <c r="Q96" s="638"/>
      <c r="R96" s="638"/>
      <c r="S96" s="638"/>
    </row>
    <row r="97" ht="15.6" spans="6:19">
      <c r="F97" t="s">
        <v>1266</v>
      </c>
      <c r="G97" s="617"/>
      <c r="H97" s="617"/>
      <c r="I97" s="638"/>
      <c r="J97" s="638"/>
      <c r="K97" s="638"/>
      <c r="L97" s="638"/>
      <c r="M97" s="638"/>
      <c r="N97" s="639"/>
      <c r="O97" s="535"/>
      <c r="P97" s="535"/>
      <c r="Q97" s="535"/>
      <c r="R97" s="535"/>
      <c r="S97" s="535"/>
    </row>
    <row r="98" ht="14.4" spans="6:11">
      <c r="F98" s="618" t="s">
        <v>1235</v>
      </c>
      <c r="G98" s="619" t="s">
        <v>1267</v>
      </c>
      <c r="H98" s="620"/>
      <c r="I98" s="619" t="s">
        <v>1268</v>
      </c>
      <c r="J98" s="620"/>
      <c r="K98" s="620"/>
    </row>
    <row r="99" ht="14.4" spans="6:11">
      <c r="F99" s="618"/>
      <c r="G99" s="499" t="s">
        <v>1269</v>
      </c>
      <c r="H99" s="499" t="s">
        <v>1270</v>
      </c>
      <c r="I99" s="499" t="s">
        <v>1271</v>
      </c>
      <c r="J99" s="499" t="s">
        <v>1272</v>
      </c>
      <c r="K99" s="499" t="s">
        <v>1273</v>
      </c>
    </row>
    <row r="100" ht="15.6" spans="6:19">
      <c r="F100" s="621" t="s">
        <v>1188</v>
      </c>
      <c r="G100" s="622" t="s">
        <v>1274</v>
      </c>
      <c r="H100" s="622">
        <v>3</v>
      </c>
      <c r="I100" s="622">
        <v>3.8</v>
      </c>
      <c r="J100" s="622">
        <v>4.7</v>
      </c>
      <c r="K100" s="622">
        <v>5.6</v>
      </c>
      <c r="L100" s="640"/>
      <c r="M100" s="640"/>
      <c r="N100" s="640"/>
      <c r="O100" s="640"/>
      <c r="P100" s="640"/>
      <c r="Q100" s="640"/>
      <c r="R100" s="535"/>
      <c r="S100" s="535"/>
    </row>
    <row r="101" ht="15.6" spans="6:19">
      <c r="F101" s="621" t="s">
        <v>1188</v>
      </c>
      <c r="G101" s="622" t="s">
        <v>1275</v>
      </c>
      <c r="H101" s="622">
        <v>4.8</v>
      </c>
      <c r="I101" s="622">
        <v>5.3</v>
      </c>
      <c r="J101" s="622">
        <v>6.2</v>
      </c>
      <c r="K101" s="622">
        <v>7.1</v>
      </c>
      <c r="L101" s="641"/>
      <c r="M101" s="641"/>
      <c r="N101" s="641"/>
      <c r="O101" s="641"/>
      <c r="P101" s="641"/>
      <c r="Q101" s="642"/>
      <c r="R101" s="535"/>
      <c r="S101" s="535"/>
    </row>
    <row r="102" ht="15.6" spans="6:23">
      <c r="F102" s="623" t="s">
        <v>1276</v>
      </c>
      <c r="G102" s="624" t="s">
        <v>1277</v>
      </c>
      <c r="H102" s="624">
        <v>6.4</v>
      </c>
      <c r="I102" s="624">
        <v>7.1</v>
      </c>
      <c r="J102" s="624">
        <v>8</v>
      </c>
      <c r="K102" s="624">
        <v>8.9</v>
      </c>
      <c r="L102" s="637"/>
      <c r="M102" s="637"/>
      <c r="N102" s="637"/>
      <c r="O102" s="637"/>
      <c r="P102" s="637"/>
      <c r="Q102" s="637"/>
      <c r="R102" s="535"/>
      <c r="S102" s="535"/>
      <c r="T102" s="535"/>
      <c r="U102" s="535"/>
      <c r="V102" s="535"/>
      <c r="W102" s="535"/>
    </row>
    <row r="103" ht="15.6" spans="6:23">
      <c r="F103" s="625" t="s">
        <v>1192</v>
      </c>
      <c r="G103" s="622" t="s">
        <v>1278</v>
      </c>
      <c r="H103" s="622">
        <v>7.9</v>
      </c>
      <c r="I103" s="622">
        <v>8.6</v>
      </c>
      <c r="J103" s="622">
        <v>9.5</v>
      </c>
      <c r="K103" s="622">
        <v>10.4</v>
      </c>
      <c r="L103" s="637"/>
      <c r="M103" s="637"/>
      <c r="N103" s="637"/>
      <c r="O103" s="637"/>
      <c r="P103" s="637"/>
      <c r="Q103" s="637"/>
      <c r="R103" s="535"/>
      <c r="S103" s="535"/>
      <c r="T103" s="535"/>
      <c r="U103" s="535"/>
      <c r="V103" s="535"/>
      <c r="W103" s="535"/>
    </row>
    <row r="104" ht="15.6" spans="6:23">
      <c r="F104" s="625" t="s">
        <v>1192</v>
      </c>
      <c r="G104" s="622" t="s">
        <v>1279</v>
      </c>
      <c r="H104" s="622">
        <v>9.5</v>
      </c>
      <c r="I104" s="622">
        <v>10.4</v>
      </c>
      <c r="J104" s="622">
        <v>11.1</v>
      </c>
      <c r="K104" s="622">
        <v>12.2</v>
      </c>
      <c r="L104" s="637"/>
      <c r="M104" s="637"/>
      <c r="N104" s="637"/>
      <c r="O104" s="637"/>
      <c r="P104" s="637"/>
      <c r="Q104" s="637"/>
      <c r="R104" s="535"/>
      <c r="S104" s="535"/>
      <c r="T104" s="535"/>
      <c r="U104" s="535"/>
      <c r="V104" s="535"/>
      <c r="W104" s="535"/>
    </row>
    <row r="105" ht="15.6" spans="6:23">
      <c r="F105" s="626" t="s">
        <v>1196</v>
      </c>
      <c r="G105" s="627" t="s">
        <v>1280</v>
      </c>
      <c r="H105" s="627">
        <v>12.7</v>
      </c>
      <c r="I105" s="627">
        <v>14</v>
      </c>
      <c r="J105" s="627">
        <v>15.5</v>
      </c>
      <c r="K105" s="627">
        <v>17</v>
      </c>
      <c r="L105" s="637"/>
      <c r="M105" s="637"/>
      <c r="N105" s="637"/>
      <c r="O105" s="637"/>
      <c r="P105" s="637"/>
      <c r="Q105" s="637"/>
      <c r="R105" s="535"/>
      <c r="S105" s="535"/>
      <c r="T105" s="535"/>
      <c r="U105" s="535"/>
      <c r="V105" s="535"/>
      <c r="W105" s="535"/>
    </row>
    <row r="106" ht="15.6" spans="6:23">
      <c r="F106" s="628"/>
      <c r="G106" s="627" t="s">
        <v>1281</v>
      </c>
      <c r="H106" s="627">
        <v>19.1</v>
      </c>
      <c r="I106" s="627">
        <v>20.3</v>
      </c>
      <c r="J106" s="627">
        <v>21.8</v>
      </c>
      <c r="K106" s="627">
        <v>23.3</v>
      </c>
      <c r="L106" s="637"/>
      <c r="M106" s="637"/>
      <c r="N106" s="637"/>
      <c r="O106" s="637"/>
      <c r="P106" s="637"/>
      <c r="Q106" s="637"/>
      <c r="R106" s="535"/>
      <c r="S106" s="535"/>
      <c r="T106" s="535"/>
      <c r="U106" s="535"/>
      <c r="V106" s="535"/>
      <c r="W106" s="535"/>
    </row>
    <row r="107" ht="15.6" spans="6:23">
      <c r="F107" s="629"/>
      <c r="G107" s="627" t="s">
        <v>1282</v>
      </c>
      <c r="H107" s="627">
        <v>25.4</v>
      </c>
      <c r="I107" s="627">
        <v>26.7</v>
      </c>
      <c r="J107" s="627">
        <v>28.2</v>
      </c>
      <c r="K107" s="627">
        <v>29.7</v>
      </c>
      <c r="L107" s="637"/>
      <c r="M107" s="637"/>
      <c r="N107" s="637"/>
      <c r="O107" s="637"/>
      <c r="P107" s="637"/>
      <c r="Q107" s="637"/>
      <c r="R107" s="535"/>
      <c r="S107" s="535"/>
      <c r="T107" s="535"/>
      <c r="U107" s="535"/>
      <c r="V107" s="535"/>
      <c r="W107" s="535"/>
    </row>
    <row r="108" ht="15.6" spans="6:23">
      <c r="F108" s="630" t="s">
        <v>1199</v>
      </c>
      <c r="G108" s="622" t="s">
        <v>1281</v>
      </c>
      <c r="H108" s="622">
        <v>19.1</v>
      </c>
      <c r="I108" s="622">
        <v>20.3</v>
      </c>
      <c r="J108" s="622">
        <v>22.6</v>
      </c>
      <c r="K108" s="622">
        <v>24.8</v>
      </c>
      <c r="L108" s="637"/>
      <c r="M108" s="637"/>
      <c r="N108" s="637"/>
      <c r="O108" s="637"/>
      <c r="P108" s="637"/>
      <c r="Q108" s="637"/>
      <c r="R108" s="535"/>
      <c r="S108" s="535"/>
      <c r="T108" s="535"/>
      <c r="U108" s="535"/>
      <c r="V108" s="535"/>
      <c r="W108" s="535"/>
    </row>
    <row r="109" ht="15.6" spans="6:23">
      <c r="F109" s="631"/>
      <c r="G109" s="622" t="s">
        <v>1282</v>
      </c>
      <c r="H109" s="622">
        <v>25.4</v>
      </c>
      <c r="I109" s="622">
        <v>26.7</v>
      </c>
      <c r="J109" s="622">
        <v>29</v>
      </c>
      <c r="K109" s="622">
        <v>31.2</v>
      </c>
      <c r="L109" s="637"/>
      <c r="M109" s="637"/>
      <c r="N109" s="637"/>
      <c r="O109" s="637"/>
      <c r="P109" s="637"/>
      <c r="Q109" s="637"/>
      <c r="R109" s="535"/>
      <c r="S109" s="535"/>
      <c r="T109" s="535"/>
      <c r="U109" s="535"/>
      <c r="V109" s="535"/>
      <c r="W109" s="535"/>
    </row>
    <row r="110" ht="15.6" spans="6:23">
      <c r="F110" s="631"/>
      <c r="G110" s="622">
        <v>150</v>
      </c>
      <c r="H110" s="622">
        <v>38.2</v>
      </c>
      <c r="I110" s="622">
        <v>39.4</v>
      </c>
      <c r="J110" s="622">
        <v>41.7</v>
      </c>
      <c r="K110" s="622">
        <v>43.9</v>
      </c>
      <c r="L110" s="637"/>
      <c r="M110" s="637"/>
      <c r="N110" s="637"/>
      <c r="O110" s="637"/>
      <c r="P110" s="637"/>
      <c r="Q110" s="637"/>
      <c r="R110" s="535"/>
      <c r="S110" s="535"/>
      <c r="T110" s="535"/>
      <c r="U110" s="535"/>
      <c r="V110" s="535"/>
      <c r="W110" s="535"/>
    </row>
    <row r="111" ht="15.6" spans="6:23">
      <c r="F111" s="631"/>
      <c r="G111" s="622">
        <v>200</v>
      </c>
      <c r="H111" s="622">
        <v>50.8</v>
      </c>
      <c r="I111" s="622">
        <v>52.8</v>
      </c>
      <c r="J111" s="622">
        <v>55.1</v>
      </c>
      <c r="K111" s="622">
        <v>57.3</v>
      </c>
      <c r="L111" s="637"/>
      <c r="M111" s="637"/>
      <c r="N111" s="637"/>
      <c r="O111" s="637"/>
      <c r="P111" s="637"/>
      <c r="Q111" s="637"/>
      <c r="R111" s="535"/>
      <c r="S111" s="535"/>
      <c r="T111" s="535"/>
      <c r="U111" s="535"/>
      <c r="V111" s="535"/>
      <c r="W111" s="535"/>
    </row>
    <row r="112" ht="15.6" spans="6:23">
      <c r="F112" s="632"/>
      <c r="G112" s="622">
        <v>300</v>
      </c>
      <c r="H112" s="622">
        <v>76.2</v>
      </c>
      <c r="I112" s="622">
        <v>79</v>
      </c>
      <c r="J112" s="622">
        <v>81.3</v>
      </c>
      <c r="K112" s="622">
        <v>83.5</v>
      </c>
      <c r="L112" s="637"/>
      <c r="M112" s="637"/>
      <c r="N112" s="637"/>
      <c r="O112" s="637"/>
      <c r="P112" s="637"/>
      <c r="Q112" s="637"/>
      <c r="R112" s="535"/>
      <c r="S112" s="535"/>
      <c r="T112" s="535"/>
      <c r="U112" s="535"/>
      <c r="V112" s="535"/>
      <c r="W112" s="535"/>
    </row>
    <row r="113" ht="15.6" spans="6:23">
      <c r="F113" s="626" t="s">
        <v>1200</v>
      </c>
      <c r="G113" s="627">
        <v>200</v>
      </c>
      <c r="H113" s="627">
        <v>50.8</v>
      </c>
      <c r="I113" s="627">
        <v>56.6</v>
      </c>
      <c r="J113" s="627">
        <v>59.6</v>
      </c>
      <c r="K113" s="627">
        <v>62.6</v>
      </c>
      <c r="L113" s="637"/>
      <c r="M113" s="637"/>
      <c r="N113" s="637"/>
      <c r="O113" s="637"/>
      <c r="P113" s="637"/>
      <c r="Q113" s="637"/>
      <c r="R113" s="535"/>
      <c r="S113" s="535"/>
      <c r="T113" s="535"/>
      <c r="U113" s="535"/>
      <c r="V113" s="535"/>
      <c r="W113" s="535"/>
    </row>
    <row r="114" ht="15.6" spans="6:23">
      <c r="F114" s="628"/>
      <c r="G114" s="627">
        <v>300</v>
      </c>
      <c r="H114" s="627">
        <v>76.2</v>
      </c>
      <c r="I114" s="627">
        <v>83.8</v>
      </c>
      <c r="J114" s="627">
        <v>86.9</v>
      </c>
      <c r="K114" s="627">
        <v>89.8</v>
      </c>
      <c r="L114" s="637"/>
      <c r="M114" s="637"/>
      <c r="N114" s="637"/>
      <c r="O114" s="637"/>
      <c r="P114" s="637"/>
      <c r="Q114" s="637"/>
      <c r="R114" s="535"/>
      <c r="S114" s="535"/>
      <c r="T114" s="535"/>
      <c r="U114" s="535"/>
      <c r="V114" s="535"/>
      <c r="W114" s="535"/>
    </row>
    <row r="115" ht="15.6" spans="6:23">
      <c r="F115" s="629"/>
      <c r="G115" s="627">
        <v>400</v>
      </c>
      <c r="H115" s="627">
        <v>101.6</v>
      </c>
      <c r="I115" s="627">
        <v>110.7</v>
      </c>
      <c r="J115" s="627">
        <v>113.7</v>
      </c>
      <c r="K115" s="627">
        <v>116.7</v>
      </c>
      <c r="L115" s="637"/>
      <c r="M115" s="637"/>
      <c r="N115" s="637"/>
      <c r="O115" s="637"/>
      <c r="P115" s="637"/>
      <c r="Q115" s="637"/>
      <c r="R115" s="535"/>
      <c r="S115" s="535"/>
      <c r="T115" s="535"/>
      <c r="U115" s="535"/>
      <c r="V115" s="535"/>
      <c r="W115" s="535"/>
    </row>
    <row r="116" ht="15.6" spans="6:23">
      <c r="F116" s="633" t="s">
        <v>1202</v>
      </c>
      <c r="G116" s="622">
        <v>200</v>
      </c>
      <c r="H116" s="622">
        <v>50.8</v>
      </c>
      <c r="I116" s="622">
        <v>56.6</v>
      </c>
      <c r="J116" s="622">
        <v>60.4</v>
      </c>
      <c r="K116" s="622">
        <v>64.1</v>
      </c>
      <c r="L116" s="637"/>
      <c r="M116" s="637"/>
      <c r="N116" s="637"/>
      <c r="O116" s="637"/>
      <c r="P116" s="637"/>
      <c r="Q116" s="637"/>
      <c r="R116" s="535"/>
      <c r="S116" s="535"/>
      <c r="T116" s="535"/>
      <c r="U116" s="535"/>
      <c r="V116" s="535"/>
      <c r="W116" s="535"/>
    </row>
    <row r="117" ht="15.6" spans="6:23">
      <c r="F117" s="634"/>
      <c r="G117" s="622" t="s">
        <v>1283</v>
      </c>
      <c r="H117" s="622">
        <v>76.2</v>
      </c>
      <c r="I117" s="622">
        <v>83.8</v>
      </c>
      <c r="J117" s="622">
        <v>87.3</v>
      </c>
      <c r="K117" s="622">
        <v>91.3</v>
      </c>
      <c r="L117" s="637"/>
      <c r="M117" s="637"/>
      <c r="N117" s="637"/>
      <c r="O117" s="637"/>
      <c r="P117" s="637"/>
      <c r="Q117" s="637"/>
      <c r="R117" s="535"/>
      <c r="S117" s="535"/>
      <c r="T117" s="535"/>
      <c r="U117" s="535"/>
      <c r="V117" s="535"/>
      <c r="W117" s="535"/>
    </row>
    <row r="118" ht="15.6" spans="6:23">
      <c r="F118" s="634"/>
      <c r="G118" s="622">
        <v>201</v>
      </c>
      <c r="H118" s="622">
        <v>101.6</v>
      </c>
      <c r="I118" s="622">
        <v>110.7</v>
      </c>
      <c r="J118" s="622">
        <v>114.5</v>
      </c>
      <c r="K118" s="622">
        <v>118.2</v>
      </c>
      <c r="L118" s="637"/>
      <c r="M118" s="637"/>
      <c r="N118" s="637"/>
      <c r="O118" s="637"/>
      <c r="P118" s="637"/>
      <c r="Q118" s="637"/>
      <c r="R118" s="535"/>
      <c r="S118" s="535"/>
      <c r="T118" s="535"/>
      <c r="U118" s="535"/>
      <c r="V118" s="535"/>
      <c r="W118" s="535"/>
    </row>
    <row r="119" ht="15.6" spans="6:23">
      <c r="F119" s="635"/>
      <c r="G119" s="622" t="s">
        <v>1284</v>
      </c>
      <c r="H119" s="622">
        <v>127</v>
      </c>
      <c r="I119" s="622">
        <v>137.7</v>
      </c>
      <c r="J119" s="622">
        <v>141.5</v>
      </c>
      <c r="K119" s="622">
        <v>145.2</v>
      </c>
      <c r="L119" s="637"/>
      <c r="M119" s="637"/>
      <c r="N119" s="637"/>
      <c r="O119" s="637"/>
      <c r="P119" s="637"/>
      <c r="Q119" s="637"/>
      <c r="R119" s="535"/>
      <c r="S119" s="535"/>
      <c r="T119" s="535"/>
      <c r="U119" s="535"/>
      <c r="V119" s="535"/>
      <c r="W119" s="535"/>
    </row>
    <row r="120" ht="15.6" spans="6:23">
      <c r="F120" s="636"/>
      <c r="G120" s="637"/>
      <c r="H120" s="637"/>
      <c r="I120" s="637"/>
      <c r="J120" s="637"/>
      <c r="K120" s="637"/>
      <c r="L120" s="637"/>
      <c r="M120" s="637"/>
      <c r="N120" s="637"/>
      <c r="O120" s="637"/>
      <c r="P120" s="637"/>
      <c r="Q120" s="637"/>
      <c r="R120" s="535"/>
      <c r="S120" s="535"/>
      <c r="T120" s="535"/>
      <c r="U120" s="535"/>
      <c r="V120" s="535"/>
      <c r="W120" s="535"/>
    </row>
    <row r="121" ht="15.6" spans="6:23">
      <c r="F121" s="636"/>
      <c r="G121" s="637"/>
      <c r="H121" s="637"/>
      <c r="I121" s="637"/>
      <c r="J121" s="637"/>
      <c r="K121" s="637"/>
      <c r="L121" s="637"/>
      <c r="M121" s="637"/>
      <c r="N121" s="637"/>
      <c r="O121" s="637"/>
      <c r="P121" s="637"/>
      <c r="Q121" s="637"/>
      <c r="R121" s="535"/>
      <c r="S121" s="535"/>
      <c r="T121" s="535"/>
      <c r="U121" s="535"/>
      <c r="V121" s="535"/>
      <c r="W121" s="535"/>
    </row>
    <row r="122" customHeight="1" spans="6:23">
      <c r="F122" s="636"/>
      <c r="G122" s="637"/>
      <c r="H122" s="637"/>
      <c r="I122" s="637"/>
      <c r="J122" s="637"/>
      <c r="K122" s="637"/>
      <c r="L122" s="637"/>
      <c r="M122" s="637"/>
      <c r="N122" s="637"/>
      <c r="O122" s="637"/>
      <c r="P122" s="637"/>
      <c r="Q122" s="637"/>
      <c r="R122" s="535"/>
      <c r="S122" s="535"/>
      <c r="T122" s="535"/>
      <c r="U122" s="535"/>
      <c r="V122" s="535"/>
      <c r="W122" s="535"/>
    </row>
    <row r="123" ht="15.6" spans="6:23">
      <c r="F123" s="636"/>
      <c r="G123" s="637"/>
      <c r="H123" s="637"/>
      <c r="I123" s="637"/>
      <c r="J123" s="637"/>
      <c r="K123" s="637"/>
      <c r="L123" s="637"/>
      <c r="M123" s="637"/>
      <c r="N123" s="637"/>
      <c r="O123" s="637"/>
      <c r="P123" s="637"/>
      <c r="Q123" s="637"/>
      <c r="R123" s="535"/>
      <c r="S123" s="535"/>
      <c r="T123" s="535"/>
      <c r="U123" s="535"/>
      <c r="V123" s="535"/>
      <c r="W123" s="535"/>
    </row>
    <row r="124" ht="15.6" spans="6:23">
      <c r="F124" s="636"/>
      <c r="G124" s="637"/>
      <c r="H124" s="637"/>
      <c r="I124" s="637"/>
      <c r="J124" s="637"/>
      <c r="K124" s="637"/>
      <c r="L124" s="637"/>
      <c r="M124" s="637"/>
      <c r="N124" s="637"/>
      <c r="O124" s="637"/>
      <c r="P124" s="637"/>
      <c r="Q124" s="637"/>
      <c r="R124" s="535"/>
      <c r="S124" s="535"/>
      <c r="T124" s="535"/>
      <c r="U124" s="535"/>
      <c r="V124" s="535"/>
      <c r="W124" s="535"/>
    </row>
    <row r="125" ht="15.6" spans="6:23">
      <c r="F125" s="636"/>
      <c r="G125" s="637"/>
      <c r="H125" s="637"/>
      <c r="I125" s="637"/>
      <c r="J125" s="637"/>
      <c r="K125" s="637"/>
      <c r="L125" s="637"/>
      <c r="M125" s="637"/>
      <c r="N125" s="637"/>
      <c r="O125" s="637"/>
      <c r="P125" s="637"/>
      <c r="Q125" s="637"/>
      <c r="R125" s="535"/>
      <c r="S125" s="535"/>
      <c r="T125" s="535"/>
      <c r="U125" s="535"/>
      <c r="V125" s="535"/>
      <c r="W125" s="535"/>
    </row>
    <row r="126" customHeight="1" spans="6:23">
      <c r="F126" s="636"/>
      <c r="G126" s="637"/>
      <c r="H126" s="637"/>
      <c r="I126" s="637"/>
      <c r="J126" s="637"/>
      <c r="K126" s="637"/>
      <c r="L126" s="637"/>
      <c r="M126" s="637"/>
      <c r="N126" s="637"/>
      <c r="O126" s="637"/>
      <c r="P126" s="637"/>
      <c r="Q126" s="637"/>
      <c r="R126" s="535"/>
      <c r="S126" s="535"/>
      <c r="T126" s="535"/>
      <c r="U126" s="535"/>
      <c r="V126" s="535"/>
      <c r="W126" s="535"/>
    </row>
    <row r="127" customHeight="1" spans="6:23">
      <c r="F127" s="636"/>
      <c r="G127" s="637"/>
      <c r="H127" s="637"/>
      <c r="I127" s="637"/>
      <c r="J127" s="637"/>
      <c r="K127" s="637"/>
      <c r="L127" s="637"/>
      <c r="M127" s="637"/>
      <c r="N127" s="637"/>
      <c r="O127" s="637"/>
      <c r="P127" s="637"/>
      <c r="Q127" s="637"/>
      <c r="R127" s="535"/>
      <c r="S127" s="535"/>
      <c r="T127" s="535"/>
      <c r="U127" s="535"/>
      <c r="V127" s="535"/>
      <c r="W127" s="535"/>
    </row>
    <row r="128" customHeight="1" spans="6:23">
      <c r="F128" s="636"/>
      <c r="G128" s="637"/>
      <c r="H128" s="637"/>
      <c r="I128" s="637"/>
      <c r="J128" s="637"/>
      <c r="K128" s="637"/>
      <c r="L128" s="637"/>
      <c r="M128" s="637"/>
      <c r="N128" s="637"/>
      <c r="O128" s="637"/>
      <c r="P128" s="637"/>
      <c r="Q128" s="637"/>
      <c r="R128" s="535"/>
      <c r="S128" s="535"/>
      <c r="T128" s="535"/>
      <c r="U128" s="535"/>
      <c r="V128" s="535"/>
      <c r="W128" s="535"/>
    </row>
    <row r="129" customHeight="1" spans="6:23">
      <c r="F129" s="636"/>
      <c r="G129" s="637"/>
      <c r="H129" s="637"/>
      <c r="I129" s="637"/>
      <c r="J129" s="637"/>
      <c r="K129" s="637"/>
      <c r="L129" s="637"/>
      <c r="M129" s="637"/>
      <c r="N129" s="637"/>
      <c r="O129" s="637"/>
      <c r="P129" s="637"/>
      <c r="Q129" s="637"/>
      <c r="R129" s="535"/>
      <c r="S129" s="535"/>
      <c r="T129" s="535"/>
      <c r="U129" s="535"/>
      <c r="V129" s="535"/>
      <c r="W129" s="535"/>
    </row>
    <row r="130" customHeight="1" spans="6:23">
      <c r="F130" s="636"/>
      <c r="G130" s="637"/>
      <c r="H130" s="637"/>
      <c r="I130" s="637"/>
      <c r="J130" s="637"/>
      <c r="K130" s="637"/>
      <c r="L130" s="535"/>
      <c r="M130" s="535"/>
      <c r="N130" s="535"/>
      <c r="O130" s="535"/>
      <c r="P130" s="535"/>
      <c r="Q130" s="535"/>
      <c r="R130" s="535"/>
      <c r="S130" s="535"/>
      <c r="T130" s="535"/>
      <c r="U130" s="535"/>
      <c r="V130" s="535"/>
      <c r="W130" s="535"/>
    </row>
    <row r="131" customHeight="1" spans="6:23">
      <c r="F131" s="636"/>
      <c r="G131" s="637"/>
      <c r="H131" s="637"/>
      <c r="I131" s="637"/>
      <c r="J131" s="637"/>
      <c r="K131" s="637"/>
      <c r="L131" s="535"/>
      <c r="M131" s="535"/>
      <c r="N131" s="535"/>
      <c r="O131" s="535"/>
      <c r="P131" s="535"/>
      <c r="Q131" s="535"/>
      <c r="R131" s="535"/>
      <c r="S131" s="535"/>
      <c r="T131" s="616"/>
      <c r="U131" s="616"/>
      <c r="V131" s="616"/>
      <c r="W131" s="616"/>
    </row>
    <row r="132" customHeight="1" spans="6:23">
      <c r="F132" s="636"/>
      <c r="G132" s="637"/>
      <c r="H132" s="637"/>
      <c r="I132" s="637"/>
      <c r="J132" s="637"/>
      <c r="K132" s="637"/>
      <c r="L132" s="535"/>
      <c r="M132" s="535"/>
      <c r="N132" s="535"/>
      <c r="O132" s="535"/>
      <c r="P132" s="535"/>
      <c r="Q132" s="535"/>
      <c r="R132" s="535"/>
      <c r="S132" s="535"/>
      <c r="T132" s="616"/>
      <c r="U132" s="616"/>
      <c r="V132" s="616"/>
      <c r="W132" s="616"/>
    </row>
    <row r="133" customHeight="1" spans="6:23">
      <c r="F133" s="636"/>
      <c r="G133" s="637"/>
      <c r="H133" s="637"/>
      <c r="I133" s="637"/>
      <c r="J133" s="637"/>
      <c r="K133" s="637"/>
      <c r="L133" s="535"/>
      <c r="M133" s="535"/>
      <c r="N133" s="535"/>
      <c r="O133" s="535"/>
      <c r="P133" s="535"/>
      <c r="Q133" s="535"/>
      <c r="R133" s="535"/>
      <c r="S133" s="535"/>
      <c r="T133" s="638"/>
      <c r="U133" s="638"/>
      <c r="V133" s="638"/>
      <c r="W133" s="638"/>
    </row>
    <row r="134" customHeight="1" spans="6:23">
      <c r="F134" s="636"/>
      <c r="G134" s="637"/>
      <c r="H134" s="637"/>
      <c r="I134" s="637"/>
      <c r="J134" s="637"/>
      <c r="K134" s="637"/>
      <c r="L134" s="535"/>
      <c r="M134" s="535"/>
      <c r="N134" s="535"/>
      <c r="O134" s="535"/>
      <c r="P134" s="535"/>
      <c r="Q134" s="535"/>
      <c r="R134" s="535"/>
      <c r="S134" s="535"/>
      <c r="T134" s="638"/>
      <c r="U134" s="638"/>
      <c r="V134" s="638"/>
      <c r="W134" s="638"/>
    </row>
    <row r="135" customHeight="1" spans="6:23">
      <c r="F135" s="636"/>
      <c r="G135" s="637"/>
      <c r="H135" s="637"/>
      <c r="I135" s="637"/>
      <c r="J135" s="637"/>
      <c r="K135" s="637"/>
      <c r="L135" s="535"/>
      <c r="M135" s="535"/>
      <c r="N135" s="535"/>
      <c r="O135" s="535"/>
      <c r="P135" s="535"/>
      <c r="Q135" s="535"/>
      <c r="R135" s="535"/>
      <c r="S135" s="535"/>
      <c r="T135" s="638"/>
      <c r="U135" s="638"/>
      <c r="V135" s="638"/>
      <c r="W135" s="638"/>
    </row>
    <row r="136" customHeight="1" spans="6:23">
      <c r="F136" s="535"/>
      <c r="G136" s="637"/>
      <c r="H136" s="637"/>
      <c r="I136" s="535"/>
      <c r="J136" s="535"/>
      <c r="K136" s="535"/>
      <c r="L136" s="535"/>
      <c r="M136" s="535"/>
      <c r="N136" s="535"/>
      <c r="O136" s="535"/>
      <c r="P136" s="535"/>
      <c r="Q136" s="535"/>
      <c r="R136" s="535"/>
      <c r="S136" s="535"/>
      <c r="T136" s="638"/>
      <c r="U136" s="638"/>
      <c r="V136" s="638"/>
      <c r="W136" s="638"/>
    </row>
    <row r="137" customHeight="1" spans="6:23">
      <c r="F137" s="535"/>
      <c r="G137" s="535"/>
      <c r="H137" s="535"/>
      <c r="I137" s="535"/>
      <c r="J137" s="535"/>
      <c r="K137" s="535"/>
      <c r="L137" s="535"/>
      <c r="M137" s="535"/>
      <c r="N137" s="535"/>
      <c r="O137" s="535"/>
      <c r="P137" s="535"/>
      <c r="Q137" s="535"/>
      <c r="R137" s="535"/>
      <c r="S137" s="535"/>
      <c r="T137" s="638"/>
      <c r="U137" s="638"/>
      <c r="V137" s="638"/>
      <c r="W137" s="638"/>
    </row>
    <row r="138" customHeight="1" spans="6:23">
      <c r="F138" s="535"/>
      <c r="G138" s="535"/>
      <c r="H138" s="535"/>
      <c r="I138" s="535"/>
      <c r="J138" s="535"/>
      <c r="K138" s="535"/>
      <c r="L138" s="535"/>
      <c r="M138" s="535"/>
      <c r="N138" s="535"/>
      <c r="O138" s="535"/>
      <c r="P138" s="535"/>
      <c r="Q138" s="535"/>
      <c r="R138" s="535"/>
      <c r="S138" s="535"/>
      <c r="T138" s="638"/>
      <c r="U138" s="638"/>
      <c r="V138" s="638"/>
      <c r="W138" s="638"/>
    </row>
    <row r="139" customHeight="1" spans="6:23">
      <c r="F139" s="535"/>
      <c r="G139" s="535"/>
      <c r="H139" s="535"/>
      <c r="I139" s="535"/>
      <c r="J139" s="535"/>
      <c r="K139" s="535"/>
      <c r="L139" s="535"/>
      <c r="M139" s="535"/>
      <c r="N139" s="535"/>
      <c r="O139" s="535"/>
      <c r="P139" s="535"/>
      <c r="Q139" s="535"/>
      <c r="R139" s="535"/>
      <c r="S139" s="535"/>
      <c r="T139" s="638"/>
      <c r="U139" s="638"/>
      <c r="V139" s="638"/>
      <c r="W139" s="638"/>
    </row>
    <row r="140" customHeight="1" spans="6:23">
      <c r="F140" s="535"/>
      <c r="G140" s="535"/>
      <c r="H140" s="535"/>
      <c r="I140" s="535"/>
      <c r="J140" s="535"/>
      <c r="K140" s="535"/>
      <c r="L140" s="535"/>
      <c r="M140" s="535"/>
      <c r="N140" s="535"/>
      <c r="O140" s="535"/>
      <c r="P140" s="535"/>
      <c r="Q140" s="535"/>
      <c r="R140" s="535"/>
      <c r="S140" s="535"/>
      <c r="T140" s="638"/>
      <c r="U140" s="638"/>
      <c r="V140" s="638"/>
      <c r="W140" s="638"/>
    </row>
    <row r="141" customHeight="1" spans="6:23">
      <c r="F141" s="535"/>
      <c r="G141" s="535"/>
      <c r="H141" s="535"/>
      <c r="I141" s="535"/>
      <c r="J141" s="535"/>
      <c r="K141" s="535"/>
      <c r="L141" s="535"/>
      <c r="M141" s="535"/>
      <c r="N141" s="535"/>
      <c r="O141" s="535"/>
      <c r="P141" s="535"/>
      <c r="Q141" s="535"/>
      <c r="R141" s="535"/>
      <c r="S141" s="535"/>
      <c r="T141" s="638"/>
      <c r="U141" s="638"/>
      <c r="V141" s="638"/>
      <c r="W141" s="638"/>
    </row>
    <row r="142" customHeight="1" spans="6:23">
      <c r="F142" s="535"/>
      <c r="G142" s="535"/>
      <c r="H142" s="535"/>
      <c r="I142" s="535"/>
      <c r="J142" s="535"/>
      <c r="K142" s="535"/>
      <c r="L142" s="535"/>
      <c r="M142" s="535"/>
      <c r="N142" s="535"/>
      <c r="O142" s="535"/>
      <c r="P142" s="535"/>
      <c r="Q142" s="535"/>
      <c r="R142" s="535"/>
      <c r="S142" s="535"/>
      <c r="T142" s="638"/>
      <c r="U142" s="638"/>
      <c r="V142" s="638"/>
      <c r="W142" s="638"/>
    </row>
    <row r="143" customHeight="1" spans="6:23">
      <c r="F143" s="535"/>
      <c r="G143" s="535"/>
      <c r="H143" s="535"/>
      <c r="I143" s="535"/>
      <c r="J143" s="535"/>
      <c r="K143" s="535"/>
      <c r="L143" s="535"/>
      <c r="M143" s="535"/>
      <c r="N143" s="535"/>
      <c r="O143" s="535"/>
      <c r="P143" s="535"/>
      <c r="Q143" s="535"/>
      <c r="R143" s="535"/>
      <c r="S143" s="535"/>
      <c r="T143" s="638"/>
      <c r="U143" s="638"/>
      <c r="V143" s="638"/>
      <c r="W143" s="638"/>
    </row>
    <row r="144" customHeight="1" spans="6:23">
      <c r="F144" s="535"/>
      <c r="G144" s="535"/>
      <c r="H144" s="535"/>
      <c r="I144" s="535"/>
      <c r="J144" s="535"/>
      <c r="K144" s="535"/>
      <c r="T144" s="638"/>
      <c r="U144" s="638"/>
      <c r="V144" s="638"/>
      <c r="W144" s="638"/>
    </row>
    <row r="145" customHeight="1" spans="6:23">
      <c r="F145" s="535"/>
      <c r="G145" s="535"/>
      <c r="H145" s="535"/>
      <c r="I145" s="535"/>
      <c r="J145" s="535"/>
      <c r="K145" s="535"/>
      <c r="T145" s="638"/>
      <c r="U145" s="638"/>
      <c r="V145" s="638"/>
      <c r="W145" s="638"/>
    </row>
    <row r="146" customHeight="1" spans="6:23">
      <c r="F146" s="535"/>
      <c r="G146" s="535"/>
      <c r="H146" s="535"/>
      <c r="I146" s="535"/>
      <c r="J146" s="535"/>
      <c r="K146" s="535"/>
      <c r="T146" s="638"/>
      <c r="U146" s="638"/>
      <c r="V146" s="638"/>
      <c r="W146" s="638"/>
    </row>
    <row r="147" customHeight="1" spans="6:23">
      <c r="F147" s="535"/>
      <c r="G147" s="535"/>
      <c r="H147" s="535"/>
      <c r="I147" s="535"/>
      <c r="J147" s="535"/>
      <c r="K147" s="535"/>
      <c r="T147" s="638"/>
      <c r="U147" s="638"/>
      <c r="V147" s="638"/>
      <c r="W147" s="638"/>
    </row>
    <row r="148" customHeight="1" spans="6:23">
      <c r="F148" s="535"/>
      <c r="G148" s="535"/>
      <c r="H148" s="535"/>
      <c r="I148" s="535"/>
      <c r="J148" s="535"/>
      <c r="K148" s="535"/>
      <c r="T148" s="638"/>
      <c r="U148" s="638"/>
      <c r="V148" s="638"/>
      <c r="W148" s="638"/>
    </row>
    <row r="149" customHeight="1" spans="6:23">
      <c r="F149" s="535"/>
      <c r="G149" s="535"/>
      <c r="H149" s="535"/>
      <c r="I149" s="535"/>
      <c r="J149" s="535"/>
      <c r="K149" s="535"/>
      <c r="T149" s="638"/>
      <c r="U149" s="638"/>
      <c r="V149" s="638"/>
      <c r="W149" s="638"/>
    </row>
    <row r="150" customHeight="1" spans="7:23">
      <c r="G150" s="535"/>
      <c r="H150" s="535"/>
      <c r="T150" s="638"/>
      <c r="U150" s="638"/>
      <c r="V150" s="638"/>
      <c r="W150" s="638"/>
    </row>
    <row r="151" customHeight="1" spans="20:23">
      <c r="T151" s="638"/>
      <c r="U151" s="638"/>
      <c r="V151" s="638"/>
      <c r="W151" s="638"/>
    </row>
    <row r="152" customHeight="1" spans="20:23">
      <c r="T152" s="638"/>
      <c r="U152" s="638"/>
      <c r="V152" s="638"/>
      <c r="W152" s="638"/>
    </row>
    <row r="153" customHeight="1" spans="20:23">
      <c r="T153" s="638"/>
      <c r="U153" s="638"/>
      <c r="V153" s="638"/>
      <c r="W153" s="638"/>
    </row>
    <row r="154" customHeight="1" spans="20:23">
      <c r="T154" s="638"/>
      <c r="U154" s="638"/>
      <c r="V154" s="638"/>
      <c r="W154" s="638"/>
    </row>
    <row r="155" customHeight="1" spans="20:23">
      <c r="T155" s="638"/>
      <c r="U155" s="638"/>
      <c r="V155" s="638"/>
      <c r="W155" s="638"/>
    </row>
    <row r="156" customHeight="1" spans="20:23">
      <c r="T156" s="638"/>
      <c r="U156" s="638"/>
      <c r="V156" s="638"/>
      <c r="W156" s="638"/>
    </row>
    <row r="157" customHeight="1" spans="20:23">
      <c r="T157" s="638"/>
      <c r="U157" s="638"/>
      <c r="V157" s="638"/>
      <c r="W157" s="638"/>
    </row>
    <row r="158" customHeight="1" spans="20:23">
      <c r="T158" s="638"/>
      <c r="U158" s="638"/>
      <c r="V158" s="638"/>
      <c r="W158" s="638"/>
    </row>
    <row r="159" customHeight="1" spans="20:23">
      <c r="T159" s="638"/>
      <c r="U159" s="638"/>
      <c r="V159" s="638"/>
      <c r="W159" s="638"/>
    </row>
    <row r="160" customHeight="1" spans="20:23">
      <c r="T160" s="638"/>
      <c r="U160" s="638"/>
      <c r="V160" s="638"/>
      <c r="W160" s="638"/>
    </row>
    <row r="161" customHeight="1" spans="20:23">
      <c r="T161" s="638"/>
      <c r="U161" s="638"/>
      <c r="V161" s="638"/>
      <c r="W161" s="638"/>
    </row>
    <row r="162" customHeight="1" spans="20:23">
      <c r="T162" s="638"/>
      <c r="U162" s="638"/>
      <c r="V162" s="638"/>
      <c r="W162" s="638"/>
    </row>
    <row r="163" customHeight="1" spans="20:23">
      <c r="T163" s="535"/>
      <c r="U163" s="535"/>
      <c r="V163" s="535"/>
      <c r="W163" s="535"/>
    </row>
  </sheetData>
  <customSheetViews>
    <customSheetView guid="{27B96A40-A6B2-43F7-A93C-713F4207CB2A}">
      <selection activeCell="D11" sqref="D11"/>
      <pageMargins left="0.7" right="0.7" top="0.75" bottom="0.75" header="0.3" footer="0.3"/>
      <headerFooter/>
    </customSheetView>
  </customSheetViews>
  <mergeCells count="99">
    <mergeCell ref="A1:D1"/>
    <mergeCell ref="J3:O3"/>
    <mergeCell ref="P3:U3"/>
    <mergeCell ref="J4:L4"/>
    <mergeCell ref="M4:O4"/>
    <mergeCell ref="P4:U4"/>
    <mergeCell ref="O28:Q28"/>
    <mergeCell ref="R28:S28"/>
    <mergeCell ref="T28:U28"/>
    <mergeCell ref="H44:N44"/>
    <mergeCell ref="F46:G46"/>
    <mergeCell ref="F47:G47"/>
    <mergeCell ref="F48:G48"/>
    <mergeCell ref="F49:G49"/>
    <mergeCell ref="F50:G50"/>
    <mergeCell ref="G98:H98"/>
    <mergeCell ref="I98:K98"/>
    <mergeCell ref="A4:A7"/>
    <mergeCell ref="A8:A9"/>
    <mergeCell ref="A10:A11"/>
    <mergeCell ref="A12:A16"/>
    <mergeCell ref="A17:A19"/>
    <mergeCell ref="A20:A22"/>
    <mergeCell ref="A23:A24"/>
    <mergeCell ref="A25:A30"/>
    <mergeCell ref="D15:D16"/>
    <mergeCell ref="D21:D22"/>
    <mergeCell ref="F98:F99"/>
    <mergeCell ref="F105:F107"/>
    <mergeCell ref="F108:F112"/>
    <mergeCell ref="F113:F115"/>
    <mergeCell ref="F116:F119"/>
    <mergeCell ref="J6:J7"/>
    <mergeCell ref="J8:J9"/>
    <mergeCell ref="J10:J11"/>
    <mergeCell ref="J12:J13"/>
    <mergeCell ref="J14:J15"/>
    <mergeCell ref="J16:J17"/>
    <mergeCell ref="J18:J19"/>
    <mergeCell ref="J20:J21"/>
    <mergeCell ref="J22:J23"/>
    <mergeCell ref="K6:K7"/>
    <mergeCell ref="K8:K9"/>
    <mergeCell ref="K10:K11"/>
    <mergeCell ref="K12:K13"/>
    <mergeCell ref="K14:K15"/>
    <mergeCell ref="K16:K17"/>
    <mergeCell ref="K18:K19"/>
    <mergeCell ref="K20:K21"/>
    <mergeCell ref="K22:K23"/>
    <mergeCell ref="L6:L7"/>
    <mergeCell ref="L8:L9"/>
    <mergeCell ref="L10:L11"/>
    <mergeCell ref="L12:L13"/>
    <mergeCell ref="L14:L15"/>
    <mergeCell ref="L16:L17"/>
    <mergeCell ref="L18:L19"/>
    <mergeCell ref="L20:L21"/>
    <mergeCell ref="L22:L23"/>
    <mergeCell ref="M6:M7"/>
    <mergeCell ref="M8:M9"/>
    <mergeCell ref="M10:M11"/>
    <mergeCell ref="M12:M13"/>
    <mergeCell ref="M14:M15"/>
    <mergeCell ref="M16:M17"/>
    <mergeCell ref="M18:M19"/>
    <mergeCell ref="M20:M21"/>
    <mergeCell ref="M22:M23"/>
    <mergeCell ref="N6:N7"/>
    <mergeCell ref="N8:N9"/>
    <mergeCell ref="N10:N11"/>
    <mergeCell ref="N12:N13"/>
    <mergeCell ref="N14:N15"/>
    <mergeCell ref="N16:N17"/>
    <mergeCell ref="N18:N19"/>
    <mergeCell ref="N20:N21"/>
    <mergeCell ref="N22:N23"/>
    <mergeCell ref="O6:O7"/>
    <mergeCell ref="O8:O9"/>
    <mergeCell ref="O10:O11"/>
    <mergeCell ref="O12:O13"/>
    <mergeCell ref="O14:O15"/>
    <mergeCell ref="O16:O17"/>
    <mergeCell ref="O18:O19"/>
    <mergeCell ref="O20:O21"/>
    <mergeCell ref="O22:O23"/>
    <mergeCell ref="F3:I5"/>
    <mergeCell ref="F44:G45"/>
    <mergeCell ref="F6:I7"/>
    <mergeCell ref="A55:D61"/>
    <mergeCell ref="F14:I15"/>
    <mergeCell ref="F18:I19"/>
    <mergeCell ref="F8:I9"/>
    <mergeCell ref="F10:I11"/>
    <mergeCell ref="F12:I13"/>
    <mergeCell ref="F20:I21"/>
    <mergeCell ref="F22:I23"/>
    <mergeCell ref="F16:I17"/>
    <mergeCell ref="A33:D54"/>
  </mergeCells>
  <dataValidations count="1">
    <dataValidation type="list" allowBlank="1" showInputMessage="1" showErrorMessage="1" prompt="请选择" sqref="C10">
      <formula1>$AA$2:$AA$8</formula1>
    </dataValidation>
  </dataValidations>
  <pageMargins left="0.7" right="0.7" top="0.75" bottom="0.75" header="0.3" footer="0.3"/>
  <headerFooter/>
  <drawing r:id="rId2"/>
  <legacyDrawing r:id="rId3"/>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Q54"/>
  <sheetViews>
    <sheetView workbookViewId="0">
      <selection activeCell="A36" sqref="A36:D40"/>
    </sheetView>
  </sheetViews>
  <sheetFormatPr defaultColWidth="15.625" defaultRowHeight="17.1" customHeight="1"/>
  <cols>
    <col min="1" max="1" width="15.625" style="47"/>
    <col min="2" max="2" width="20.5" style="47" customWidth="1"/>
    <col min="3" max="3" width="15.625" style="551"/>
    <col min="4" max="4" width="19.625" style="47" customWidth="1"/>
    <col min="5" max="5" width="5.625" style="47" customWidth="1"/>
    <col min="6" max="23" width="8.625" style="47" customWidth="1"/>
    <col min="24" max="16384" width="15.625" style="47"/>
  </cols>
  <sheetData>
    <row r="1" ht="21.95" customHeight="1" spans="1:4">
      <c r="A1" s="124" t="s">
        <v>1285</v>
      </c>
      <c r="B1" s="125"/>
      <c r="C1" s="125"/>
      <c r="D1" s="125"/>
    </row>
    <row r="2" customHeight="1" spans="1:6">
      <c r="A2" s="9" t="s">
        <v>269</v>
      </c>
      <c r="B2" s="9" t="s">
        <v>270</v>
      </c>
      <c r="C2" s="32" t="s">
        <v>271</v>
      </c>
      <c r="D2" s="9" t="s">
        <v>272</v>
      </c>
      <c r="F2" s="47" t="s">
        <v>1286</v>
      </c>
    </row>
    <row r="3" customHeight="1" spans="1:17">
      <c r="A3" s="42" t="s">
        <v>1083</v>
      </c>
      <c r="B3" s="9" t="s">
        <v>1287</v>
      </c>
      <c r="C3" s="91">
        <v>200</v>
      </c>
      <c r="D3" s="9"/>
      <c r="Q3" s="106" t="s">
        <v>1288</v>
      </c>
    </row>
    <row r="4" customHeight="1" spans="1:17">
      <c r="A4" s="436"/>
      <c r="B4" s="9" t="s">
        <v>1289</v>
      </c>
      <c r="C4" s="91">
        <v>100</v>
      </c>
      <c r="D4" s="9"/>
      <c r="Q4" s="106" t="s">
        <v>1290</v>
      </c>
    </row>
    <row r="5" customHeight="1" spans="1:4">
      <c r="A5" s="436"/>
      <c r="B5" s="9" t="s">
        <v>1291</v>
      </c>
      <c r="C5" s="91"/>
      <c r="D5" s="552">
        <f>IF(OR(C5="",C5=0),60*C3/(PI()*C4),C5)</f>
        <v>38.1971863420549</v>
      </c>
    </row>
    <row r="6" customHeight="1" spans="1:4">
      <c r="A6" s="436"/>
      <c r="B6" s="9" t="s">
        <v>1292</v>
      </c>
      <c r="C6" s="553" t="s">
        <v>1288</v>
      </c>
      <c r="D6" s="193">
        <f>IF(C6=Q3,0.05,0.3)</f>
        <v>0.05</v>
      </c>
    </row>
    <row r="7" customHeight="1" spans="1:4">
      <c r="A7" s="436"/>
      <c r="B7" s="9" t="s">
        <v>1293</v>
      </c>
      <c r="C7" s="91">
        <v>4</v>
      </c>
      <c r="D7" s="9"/>
    </row>
    <row r="8" customHeight="1" spans="1:4">
      <c r="A8" s="436"/>
      <c r="B8" s="9" t="s">
        <v>1294</v>
      </c>
      <c r="C8" s="91">
        <v>7</v>
      </c>
      <c r="D8" s="9"/>
    </row>
    <row r="9" customHeight="1" spans="1:4">
      <c r="A9" s="436"/>
      <c r="B9" s="9" t="s">
        <v>1295</v>
      </c>
      <c r="C9" s="91">
        <f>2*2</f>
        <v>4</v>
      </c>
      <c r="D9" s="9"/>
    </row>
    <row r="10" customHeight="1" spans="1:4">
      <c r="A10" s="436"/>
      <c r="B10" s="9" t="s">
        <v>1296</v>
      </c>
      <c r="C10" s="91">
        <v>20</v>
      </c>
      <c r="D10" s="9" t="s">
        <v>1297</v>
      </c>
    </row>
    <row r="11" customHeight="1" spans="1:4">
      <c r="A11" s="436"/>
      <c r="B11" s="9" t="s">
        <v>1298</v>
      </c>
      <c r="C11" s="91">
        <v>20</v>
      </c>
      <c r="D11" s="9" t="s">
        <v>1299</v>
      </c>
    </row>
    <row r="12" customHeight="1" spans="1:4">
      <c r="A12" s="44"/>
      <c r="B12" s="9" t="s">
        <v>1300</v>
      </c>
      <c r="C12" s="91">
        <v>0</v>
      </c>
      <c r="D12" s="92" t="s">
        <v>1301</v>
      </c>
    </row>
    <row r="13" customHeight="1" spans="1:4">
      <c r="A13" s="280" t="s">
        <v>1302</v>
      </c>
      <c r="B13" s="9" t="s">
        <v>1303</v>
      </c>
      <c r="C13" s="97">
        <f>D6*(C7+C8+C9+0.05*C12)+C7*SIN(RADIANS(C10))+0.3*C11</f>
        <v>8.11808057330267</v>
      </c>
      <c r="D13" s="554" t="s">
        <v>1304</v>
      </c>
    </row>
    <row r="14" customHeight="1" spans="1:4">
      <c r="A14" s="284"/>
      <c r="B14" s="9" t="s">
        <v>1305</v>
      </c>
      <c r="C14" s="97">
        <f>C13*9.8</f>
        <v>79.5571896183662</v>
      </c>
      <c r="D14" s="554" t="s">
        <v>1306</v>
      </c>
    </row>
    <row r="15" customHeight="1" spans="1:4">
      <c r="A15" s="284"/>
      <c r="B15" s="9" t="s">
        <v>1307</v>
      </c>
      <c r="C15" s="555">
        <v>1.25</v>
      </c>
      <c r="D15" s="554"/>
    </row>
    <row r="16" customHeight="1" spans="1:4">
      <c r="A16" s="284"/>
      <c r="B16" s="9" t="s">
        <v>1308</v>
      </c>
      <c r="C16" s="97">
        <f>1.25*C14</f>
        <v>99.4464870229578</v>
      </c>
      <c r="D16" s="9" t="s">
        <v>1309</v>
      </c>
    </row>
    <row r="17" customHeight="1" spans="1:6">
      <c r="A17" s="285"/>
      <c r="B17" s="9" t="s">
        <v>1310</v>
      </c>
      <c r="C17" s="556">
        <f>C16*C4/2/1000</f>
        <v>4.97232435114789</v>
      </c>
      <c r="D17" s="554" t="s">
        <v>1311</v>
      </c>
      <c r="F17" s="47" t="s">
        <v>1312</v>
      </c>
    </row>
    <row r="18" customHeight="1" spans="1:4">
      <c r="A18" s="280" t="s">
        <v>1313</v>
      </c>
      <c r="B18" s="9" t="s">
        <v>1305</v>
      </c>
      <c r="C18" s="555">
        <f>(C7+C8)*9.8*(D6*COS(RADIANS(C10))+SIN(RADIANS(C10)))</f>
        <v>41.9347146765431</v>
      </c>
      <c r="D18" s="554" t="s">
        <v>1314</v>
      </c>
    </row>
    <row r="19" customHeight="1" spans="1:4">
      <c r="A19" s="284"/>
      <c r="B19" s="9" t="s">
        <v>1315</v>
      </c>
      <c r="C19" s="557">
        <v>2</v>
      </c>
      <c r="D19" s="554"/>
    </row>
    <row r="20" customHeight="1" spans="1:4">
      <c r="A20" s="284"/>
      <c r="B20" s="9" t="s">
        <v>1316</v>
      </c>
      <c r="C20" s="555">
        <f>C19*C18</f>
        <v>83.8694293530863</v>
      </c>
      <c r="D20" s="554" t="s">
        <v>1317</v>
      </c>
    </row>
    <row r="21" customHeight="1" spans="1:4">
      <c r="A21" s="285"/>
      <c r="B21" s="9" t="s">
        <v>1318</v>
      </c>
      <c r="C21" s="556">
        <f>C20*C4/2/1000</f>
        <v>4.19347146765431</v>
      </c>
      <c r="D21" s="554"/>
    </row>
    <row r="22" customHeight="1" spans="1:4">
      <c r="A22" s="271" t="s">
        <v>1319</v>
      </c>
      <c r="B22" s="558" t="s">
        <v>1320</v>
      </c>
      <c r="C22" s="559"/>
      <c r="D22" s="560"/>
    </row>
    <row r="23" customHeight="1" spans="1:4">
      <c r="A23" s="271"/>
      <c r="B23" s="561"/>
      <c r="C23" s="562"/>
      <c r="D23" s="563"/>
    </row>
    <row r="24" customHeight="1" spans="1:4">
      <c r="A24" s="82"/>
      <c r="B24" s="82"/>
      <c r="C24" s="83"/>
      <c r="D24" s="82"/>
    </row>
    <row r="25" customHeight="1" spans="1:4">
      <c r="A25" s="460" t="s">
        <v>1321</v>
      </c>
      <c r="B25" s="461"/>
      <c r="C25" s="461"/>
      <c r="D25" s="462"/>
    </row>
    <row r="26" customHeight="1" spans="1:4">
      <c r="A26" s="463"/>
      <c r="B26" s="135"/>
      <c r="C26" s="135"/>
      <c r="D26" s="464"/>
    </row>
    <row r="27" customHeight="1" spans="1:4">
      <c r="A27" s="463"/>
      <c r="B27" s="135"/>
      <c r="C27" s="135"/>
      <c r="D27" s="464"/>
    </row>
    <row r="28" customHeight="1" spans="1:6">
      <c r="A28" s="463"/>
      <c r="B28" s="135"/>
      <c r="C28" s="135"/>
      <c r="D28" s="464"/>
      <c r="F28" s="47" t="s">
        <v>1322</v>
      </c>
    </row>
    <row r="29" customHeight="1" spans="1:4">
      <c r="A29" s="463"/>
      <c r="B29" s="135"/>
      <c r="C29" s="135"/>
      <c r="D29" s="464"/>
    </row>
    <row r="30" customHeight="1" spans="1:4">
      <c r="A30" s="463"/>
      <c r="B30" s="135"/>
      <c r="C30" s="135"/>
      <c r="D30" s="464"/>
    </row>
    <row r="31" customHeight="1" spans="1:4">
      <c r="A31" s="463"/>
      <c r="B31" s="135"/>
      <c r="C31" s="135"/>
      <c r="D31" s="464"/>
    </row>
    <row r="32" customHeight="1" spans="1:4">
      <c r="A32" s="463"/>
      <c r="B32" s="135"/>
      <c r="C32" s="135"/>
      <c r="D32" s="464"/>
    </row>
    <row r="33" customHeight="1" spans="1:4">
      <c r="A33" s="463"/>
      <c r="B33" s="135"/>
      <c r="C33" s="135"/>
      <c r="D33" s="464"/>
    </row>
    <row r="34" customHeight="1" spans="1:4">
      <c r="A34" s="463"/>
      <c r="B34" s="135"/>
      <c r="C34" s="135"/>
      <c r="D34" s="464"/>
    </row>
    <row r="35" ht="16.5" customHeight="1" spans="1:4">
      <c r="A35" s="465"/>
      <c r="B35" s="466"/>
      <c r="C35" s="466"/>
      <c r="D35" s="467"/>
    </row>
    <row r="36" customHeight="1" spans="1:4">
      <c r="A36" s="564" t="s">
        <v>1323</v>
      </c>
      <c r="B36" s="565"/>
      <c r="C36" s="565"/>
      <c r="D36" s="566"/>
    </row>
    <row r="37" customHeight="1" spans="1:4">
      <c r="A37" s="564"/>
      <c r="B37" s="565"/>
      <c r="C37" s="565"/>
      <c r="D37" s="566"/>
    </row>
    <row r="38" customHeight="1" spans="1:4">
      <c r="A38" s="564"/>
      <c r="B38" s="565"/>
      <c r="C38" s="565"/>
      <c r="D38" s="566"/>
    </row>
    <row r="39" customHeight="1" spans="1:4">
      <c r="A39" s="564"/>
      <c r="B39" s="565"/>
      <c r="C39" s="565"/>
      <c r="D39" s="566"/>
    </row>
    <row r="40" customHeight="1" spans="1:4">
      <c r="A40" s="567"/>
      <c r="B40" s="568"/>
      <c r="C40" s="568"/>
      <c r="D40" s="569"/>
    </row>
    <row r="54" s="47" customFormat="1" ht="16.5" customHeight="1"/>
  </sheetData>
  <customSheetViews>
    <customSheetView guid="{27B96A40-A6B2-43F7-A93C-713F4207CB2A}">
      <selection activeCell="N16" sqref="N16"/>
      <pageMargins left="0.7" right="0.7" top="0.75" bottom="0.75" header="0.3" footer="0.3"/>
      <headerFooter/>
    </customSheetView>
  </customSheetViews>
  <mergeCells count="8">
    <mergeCell ref="A1:D1"/>
    <mergeCell ref="A3:A12"/>
    <mergeCell ref="A13:A17"/>
    <mergeCell ref="A18:A21"/>
    <mergeCell ref="A22:A23"/>
    <mergeCell ref="A36:D40"/>
    <mergeCell ref="B22:D23"/>
    <mergeCell ref="A25:D35"/>
  </mergeCells>
  <dataValidations count="1">
    <dataValidation type="list" allowBlank="1" showInputMessage="1" showErrorMessage="1" prompt="请选择" sqref="C6">
      <formula1>$Q$3:$Q$4</formula1>
    </dataValidation>
  </dataValidations>
  <pageMargins left="0.7" right="0.7" top="0.75" bottom="0.75" header="0.3" footer="0.3"/>
  <headerFooter/>
  <drawing r:id="rId2"/>
  <legacyDrawing r:id="rId3"/>
  <oleObjects>
    <mc:AlternateContent xmlns:mc="http://schemas.openxmlformats.org/markup-compatibility/2006">
      <mc:Choice Requires="x14">
        <oleObject shapeId="16386" progId="PBrush" r:id="rId4">
          <objectPr defaultSize="0" r:id="rId5">
            <anchor moveWithCells="1" sizeWithCells="1">
              <from>
                <xdr:col>5</xdr:col>
                <xdr:colOff>0</xdr:colOff>
                <xdr:row>1</xdr:row>
                <xdr:rowOff>0</xdr:rowOff>
              </from>
              <to>
                <xdr:col>5</xdr:col>
                <xdr:colOff>0</xdr:colOff>
                <xdr:row>1</xdr:row>
                <xdr:rowOff>0</xdr:rowOff>
              </to>
            </anchor>
          </objectPr>
        </oleObject>
      </mc:Choice>
      <mc:Fallback>
        <oleObject shapeId="16386" progId="PBrush" r:id="rId4"/>
      </mc:Fallback>
    </mc:AlternateContent>
  </oleObjects>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G156"/>
  <sheetViews>
    <sheetView workbookViewId="0">
      <selection activeCell="A1" sqref="A1:D1"/>
    </sheetView>
  </sheetViews>
  <sheetFormatPr defaultColWidth="15.625" defaultRowHeight="17.1" customHeight="1"/>
  <cols>
    <col min="2" max="2" width="20.5" customWidth="1"/>
    <col min="3" max="3" width="15.625" style="471"/>
    <col min="4" max="4" width="17.625" customWidth="1"/>
    <col min="5" max="5" width="7.875" customWidth="1"/>
    <col min="6" max="27" width="8.625" customWidth="1"/>
  </cols>
  <sheetData>
    <row r="1" ht="21.95" customHeight="1" spans="1:24">
      <c r="A1" s="472" t="s">
        <v>23</v>
      </c>
      <c r="B1" s="473"/>
      <c r="C1" s="473"/>
      <c r="D1" s="473"/>
      <c r="X1" s="544" t="s">
        <v>1324</v>
      </c>
    </row>
    <row r="2" customHeight="1" spans="1:24">
      <c r="A2" s="474" t="s">
        <v>1078</v>
      </c>
      <c r="B2" s="474"/>
      <c r="C2" s="475"/>
      <c r="D2" s="474"/>
      <c r="F2" t="s">
        <v>1325</v>
      </c>
      <c r="I2" s="535"/>
      <c r="J2" s="535"/>
      <c r="K2" s="535"/>
      <c r="L2" s="535"/>
      <c r="M2" s="535"/>
      <c r="N2" s="535"/>
      <c r="O2" s="535"/>
      <c r="P2" s="535"/>
      <c r="Q2" s="535"/>
      <c r="R2" s="535"/>
      <c r="X2" s="545" t="s">
        <v>1326</v>
      </c>
    </row>
    <row r="3" customHeight="1" spans="1:33">
      <c r="A3" s="476" t="s">
        <v>269</v>
      </c>
      <c r="B3" s="476" t="s">
        <v>270</v>
      </c>
      <c r="C3" s="477" t="s">
        <v>271</v>
      </c>
      <c r="D3" s="476" t="s">
        <v>272</v>
      </c>
      <c r="F3" s="476" t="s">
        <v>1327</v>
      </c>
      <c r="G3" s="478" t="s">
        <v>1328</v>
      </c>
      <c r="H3" s="478"/>
      <c r="I3" s="478"/>
      <c r="J3" s="478"/>
      <c r="K3" s="478"/>
      <c r="L3" s="478"/>
      <c r="M3" s="535"/>
      <c r="N3" s="535"/>
      <c r="O3" s="535"/>
      <c r="P3" s="535"/>
      <c r="X3" s="545" t="s">
        <v>1329</v>
      </c>
      <c r="Y3" s="546"/>
      <c r="Z3" s="546"/>
      <c r="AA3" s="546"/>
      <c r="AB3" s="546"/>
      <c r="AC3" s="546"/>
      <c r="AD3" s="546"/>
      <c r="AE3" s="546"/>
      <c r="AF3" s="546"/>
      <c r="AG3" s="546"/>
    </row>
    <row r="4" customHeight="1" spans="1:33">
      <c r="A4" s="479" t="s">
        <v>1083</v>
      </c>
      <c r="B4" s="476" t="s">
        <v>1084</v>
      </c>
      <c r="C4" s="91">
        <v>3</v>
      </c>
      <c r="D4" s="476"/>
      <c r="F4" s="480" t="s">
        <v>1330</v>
      </c>
      <c r="X4" s="545" t="s">
        <v>1331</v>
      </c>
      <c r="Y4" s="547"/>
      <c r="Z4" s="547"/>
      <c r="AA4" s="547"/>
      <c r="AB4" s="547"/>
      <c r="AC4" s="547"/>
      <c r="AD4" s="547"/>
      <c r="AE4" s="547"/>
      <c r="AF4" s="547"/>
      <c r="AG4" s="547"/>
    </row>
    <row r="5" customHeight="1" spans="1:33">
      <c r="A5" s="481"/>
      <c r="B5" s="476" t="s">
        <v>1332</v>
      </c>
      <c r="C5" s="91">
        <v>90</v>
      </c>
      <c r="D5" s="476"/>
      <c r="Y5" s="535"/>
      <c r="Z5" s="535"/>
      <c r="AA5" s="535"/>
      <c r="AB5" s="535"/>
      <c r="AC5" s="535"/>
      <c r="AD5" s="535"/>
      <c r="AE5" s="535"/>
      <c r="AF5" s="535"/>
      <c r="AG5" s="535"/>
    </row>
    <row r="6" customHeight="1" spans="1:33">
      <c r="A6" s="482"/>
      <c r="B6" s="476" t="s">
        <v>1097</v>
      </c>
      <c r="C6" s="91">
        <v>3.2</v>
      </c>
      <c r="D6" s="476" t="s">
        <v>1333</v>
      </c>
      <c r="F6" s="483" t="s">
        <v>1334</v>
      </c>
      <c r="Y6" s="540"/>
      <c r="Z6" s="540"/>
      <c r="AA6" s="540"/>
      <c r="AB6" s="540"/>
      <c r="AC6" s="540"/>
      <c r="AD6" s="540"/>
      <c r="AE6" s="540"/>
      <c r="AF6" s="540"/>
      <c r="AG6" s="540"/>
    </row>
    <row r="7" customHeight="1" spans="1:26">
      <c r="A7" s="484" t="s">
        <v>1335</v>
      </c>
      <c r="B7" s="476" t="s">
        <v>1336</v>
      </c>
      <c r="C7" s="91">
        <v>19</v>
      </c>
      <c r="D7" s="485" t="s">
        <v>1337</v>
      </c>
      <c r="F7" s="486" t="s">
        <v>1338</v>
      </c>
      <c r="G7" s="487" t="s">
        <v>1339</v>
      </c>
      <c r="H7" s="488"/>
      <c r="I7" s="488"/>
      <c r="J7" s="488"/>
      <c r="K7" s="488"/>
      <c r="L7" s="488"/>
      <c r="M7" s="536"/>
      <c r="N7" s="536"/>
      <c r="O7" s="536"/>
      <c r="P7" s="536"/>
      <c r="Q7" s="536"/>
      <c r="R7" s="536"/>
      <c r="V7" s="546"/>
      <c r="W7" s="546"/>
      <c r="Y7" s="540"/>
      <c r="Z7" s="540"/>
    </row>
    <row r="8" customHeight="1" spans="1:33">
      <c r="A8" s="489"/>
      <c r="B8" s="476" t="s">
        <v>1340</v>
      </c>
      <c r="C8" s="477">
        <f>C7*C6</f>
        <v>60.8</v>
      </c>
      <c r="D8" s="490"/>
      <c r="F8" s="486"/>
      <c r="G8" s="491" t="s">
        <v>1341</v>
      </c>
      <c r="H8" s="491"/>
      <c r="I8" s="537" t="s">
        <v>353</v>
      </c>
      <c r="J8" s="537"/>
      <c r="K8" s="487" t="s">
        <v>357</v>
      </c>
      <c r="L8" s="487"/>
      <c r="M8" s="538"/>
      <c r="N8" s="538"/>
      <c r="O8" s="538"/>
      <c r="P8" s="538"/>
      <c r="Q8" s="538"/>
      <c r="R8" s="538"/>
      <c r="V8" s="547"/>
      <c r="W8" s="547"/>
      <c r="Y8" s="540"/>
      <c r="Z8" s="540"/>
      <c r="AA8" s="540"/>
      <c r="AB8" s="540"/>
      <c r="AC8" s="540"/>
      <c r="AD8" s="540"/>
      <c r="AE8" s="540"/>
      <c r="AF8" s="540"/>
      <c r="AG8" s="540"/>
    </row>
    <row r="9" customHeight="1" spans="1:33">
      <c r="A9" s="492"/>
      <c r="B9" s="476" t="s">
        <v>1342</v>
      </c>
      <c r="C9" s="91">
        <v>61</v>
      </c>
      <c r="D9" s="490"/>
      <c r="F9" s="493" t="s">
        <v>1341</v>
      </c>
      <c r="G9" s="494">
        <v>1</v>
      </c>
      <c r="H9" s="495"/>
      <c r="I9" s="494">
        <v>1.1</v>
      </c>
      <c r="J9" s="495"/>
      <c r="K9" s="494">
        <v>1.3</v>
      </c>
      <c r="L9" s="495"/>
      <c r="M9" s="539"/>
      <c r="N9" s="535"/>
      <c r="O9" s="535"/>
      <c r="P9" s="535"/>
      <c r="Q9" s="535"/>
      <c r="R9" s="540"/>
      <c r="S9" s="540"/>
      <c r="T9" s="540"/>
      <c r="U9" s="540"/>
      <c r="V9" s="540"/>
      <c r="W9" s="540"/>
      <c r="Y9" s="540"/>
      <c r="Z9" s="540"/>
      <c r="AA9" s="540"/>
      <c r="AB9" s="540"/>
      <c r="AC9" s="540"/>
      <c r="AD9" s="540"/>
      <c r="AE9" s="540"/>
      <c r="AF9" s="540"/>
      <c r="AG9" s="540"/>
    </row>
    <row r="10" customHeight="1" spans="1:33">
      <c r="A10" s="484" t="s">
        <v>1343</v>
      </c>
      <c r="B10" s="476" t="s">
        <v>1101</v>
      </c>
      <c r="C10" s="91">
        <v>1</v>
      </c>
      <c r="D10" s="485" t="s">
        <v>297</v>
      </c>
      <c r="F10" s="493" t="s">
        <v>357</v>
      </c>
      <c r="G10" s="494">
        <v>1.4</v>
      </c>
      <c r="H10" s="495"/>
      <c r="I10" s="494">
        <v>1.5</v>
      </c>
      <c r="J10" s="495"/>
      <c r="K10" s="494">
        <v>1.7</v>
      </c>
      <c r="L10" s="495"/>
      <c r="M10" s="540"/>
      <c r="N10" s="540"/>
      <c r="O10" s="540"/>
      <c r="P10" s="540"/>
      <c r="Q10" s="540"/>
      <c r="R10" s="540"/>
      <c r="S10" s="540"/>
      <c r="T10" s="540"/>
      <c r="U10" s="540"/>
      <c r="V10" s="540"/>
      <c r="W10" s="540"/>
      <c r="X10" s="540"/>
      <c r="Y10" s="540"/>
      <c r="Z10" s="540"/>
      <c r="AA10" s="540"/>
      <c r="AB10" s="540"/>
      <c r="AC10" s="540"/>
      <c r="AD10" s="540"/>
      <c r="AE10" s="540"/>
      <c r="AF10" s="540"/>
      <c r="AG10" s="540"/>
    </row>
    <row r="11" customHeight="1" spans="1:23">
      <c r="A11" s="489"/>
      <c r="B11" s="476" t="s">
        <v>1344</v>
      </c>
      <c r="C11" s="496">
        <f>35.930348484206*C7^(-1.11109669563915)</f>
        <v>1.36346039974631</v>
      </c>
      <c r="D11" s="497"/>
      <c r="F11" s="493" t="s">
        <v>362</v>
      </c>
      <c r="G11" s="494">
        <v>1.8</v>
      </c>
      <c r="H11" s="495"/>
      <c r="I11" s="494">
        <v>1.9</v>
      </c>
      <c r="J11" s="495"/>
      <c r="K11" s="494">
        <v>2.1</v>
      </c>
      <c r="L11" s="495"/>
      <c r="M11" s="540"/>
      <c r="N11" s="540"/>
      <c r="O11" s="540"/>
      <c r="P11" s="540"/>
      <c r="Q11" s="540"/>
      <c r="R11" s="540"/>
      <c r="S11" s="540"/>
      <c r="T11" s="540"/>
      <c r="U11" s="540"/>
      <c r="V11" s="540"/>
      <c r="W11" s="540"/>
    </row>
    <row r="12" customHeight="1" spans="1:4">
      <c r="A12" s="489"/>
      <c r="B12" s="476" t="s">
        <v>1345</v>
      </c>
      <c r="C12" s="160" t="s">
        <v>1326</v>
      </c>
      <c r="D12" s="498">
        <f>IF(C12=X2,1,IF(C12=X3,1.75,IF(C12=X4,2.5,1)))</f>
        <v>1</v>
      </c>
    </row>
    <row r="13" customHeight="1" spans="1:6">
      <c r="A13" s="492"/>
      <c r="B13" s="476" t="s">
        <v>1103</v>
      </c>
      <c r="C13" s="496">
        <f>C4*C10*C11/D12</f>
        <v>4.09038119923894</v>
      </c>
      <c r="D13" s="476" t="s">
        <v>1346</v>
      </c>
      <c r="F13" t="s">
        <v>1347</v>
      </c>
    </row>
    <row r="14" customHeight="1" spans="1:26">
      <c r="A14" s="484" t="s">
        <v>1348</v>
      </c>
      <c r="B14" s="499" t="s">
        <v>1349</v>
      </c>
      <c r="C14" s="500" t="s">
        <v>1350</v>
      </c>
      <c r="D14" s="485" t="s">
        <v>1351</v>
      </c>
      <c r="Y14" s="549" t="s">
        <v>1352</v>
      </c>
      <c r="Z14" s="549" t="s">
        <v>1353</v>
      </c>
    </row>
    <row r="15" customHeight="1" spans="1:26">
      <c r="A15" s="492"/>
      <c r="B15" s="476" t="s">
        <v>1353</v>
      </c>
      <c r="C15" s="501">
        <f>IF(C14=Y15,Z15,LEFT(C14,2)*3.175/2)</f>
        <v>31.75</v>
      </c>
      <c r="D15" s="490"/>
      <c r="Y15" s="550" t="s">
        <v>1354</v>
      </c>
      <c r="Z15" s="550">
        <v>8</v>
      </c>
    </row>
    <row r="16" customHeight="1" spans="1:26">
      <c r="A16" s="484" t="s">
        <v>1355</v>
      </c>
      <c r="B16" s="476" t="s">
        <v>1356</v>
      </c>
      <c r="C16" s="91">
        <v>1000</v>
      </c>
      <c r="D16" s="490" t="str">
        <f>30*C15&amp;"~"&amp;50*C15</f>
        <v>952.5~1587.5</v>
      </c>
      <c r="Y16" s="550" t="s">
        <v>1357</v>
      </c>
      <c r="Z16" s="550">
        <f t="shared" ref="Z16:Z40" si="0">LEFT(Y16,2)*3.175/2</f>
        <v>9.525</v>
      </c>
    </row>
    <row r="17" ht="15" customHeight="1" spans="1:26">
      <c r="A17" s="489"/>
      <c r="B17" s="476" t="s">
        <v>1358</v>
      </c>
      <c r="C17" s="502">
        <f>2*C16/C15+(C7+C9)/2+((C9-C7)/2/PI())^2*C15/C16</f>
        <v>104.410799867316</v>
      </c>
      <c r="D17" s="503" t="s">
        <v>1359</v>
      </c>
      <c r="Y17" s="550" t="s">
        <v>1360</v>
      </c>
      <c r="Z17" s="550">
        <f t="shared" si="0"/>
        <v>12.7</v>
      </c>
    </row>
    <row r="18" ht="14.4" spans="1:26">
      <c r="A18" s="489"/>
      <c r="B18" s="476" t="s">
        <v>1361</v>
      </c>
      <c r="C18" s="350">
        <v>104</v>
      </c>
      <c r="D18" s="504"/>
      <c r="Y18" s="550" t="s">
        <v>1362</v>
      </c>
      <c r="Z18" s="550">
        <f t="shared" si="0"/>
        <v>12.7</v>
      </c>
    </row>
    <row r="19" ht="14.4" spans="1:26">
      <c r="A19" s="489"/>
      <c r="B19" s="505" t="s">
        <v>1363</v>
      </c>
      <c r="C19" s="506">
        <f>PI()*((C18-C7)/(C9-C7)-1)</f>
        <v>3.21639247867526</v>
      </c>
      <c r="D19" s="507"/>
      <c r="Y19" s="550" t="s">
        <v>1364</v>
      </c>
      <c r="Z19" s="550">
        <f t="shared" si="0"/>
        <v>15.875</v>
      </c>
    </row>
    <row r="20" ht="14.4" spans="1:26">
      <c r="A20" s="489"/>
      <c r="B20" s="505" t="str">
        <f>"从invθ="&amp;ROUND(C19,2)&amp;" 反解θ(°)"</f>
        <v>从invθ=3.22 反解θ(°)</v>
      </c>
      <c r="C20" s="506">
        <f>IF(C19=0,0,DEGREES((ATAN((C19/(1/3+0.4*C19^(2/3)/3^(1/3)+5.55*3^(1/3)*C19^(4/3)/105))^(1/3)+C19))-(TAN(ATAN((C19/(1/3+0.4*C19^(2/3)/3^(1/3)+5.55*3^(1/3)*C19^(4/3)/105))^(1/3)+C19))-(ATAN((C19/(1/3+0.4*C19^(2/3)/3^(1/3)+5.55*3^(1/3)*C19^(4/3)/105))^(1/3)+C19))-C19)/(TAN(ATAN((C19/(1/3+0.4*C19^(2/3)/3^(1/3)+5.55*3^(1/3)*C19^(4/3)/105))^(1/3)+C19)))^2))</f>
        <v>77.6620207420624</v>
      </c>
      <c r="D20" s="505" t="s">
        <v>1365</v>
      </c>
      <c r="Y20" s="550" t="s">
        <v>1366</v>
      </c>
      <c r="Z20" s="550">
        <f t="shared" si="0"/>
        <v>15.875</v>
      </c>
    </row>
    <row r="21" ht="14.25" customHeight="1" spans="1:26">
      <c r="A21" s="489"/>
      <c r="B21" s="476" t="s">
        <v>1367</v>
      </c>
      <c r="C21" s="508">
        <f>1/(2*PI()*COS(RADIANS(C20))*(2*(C18-C7)/(C9-C7)-1))</f>
        <v>0.244399137523886</v>
      </c>
      <c r="D21" s="509"/>
      <c r="Y21" s="550" t="s">
        <v>1368</v>
      </c>
      <c r="Z21" s="550">
        <f t="shared" si="0"/>
        <v>19.05</v>
      </c>
    </row>
    <row r="22" ht="14.4" spans="1:26">
      <c r="A22" s="492"/>
      <c r="B22" s="476" t="s">
        <v>1369</v>
      </c>
      <c r="C22" s="496">
        <f>C21*C15*(2*C18-C7-C9)</f>
        <v>993.238094897072</v>
      </c>
      <c r="D22" s="490"/>
      <c r="Y22" s="550" t="s">
        <v>1370</v>
      </c>
      <c r="Z22" s="550">
        <f t="shared" si="0"/>
        <v>19.05</v>
      </c>
    </row>
    <row r="23" ht="14.4" spans="1:26">
      <c r="A23" s="484" t="s">
        <v>1371</v>
      </c>
      <c r="B23" s="476" t="s">
        <v>1372</v>
      </c>
      <c r="C23" s="496">
        <f>C5*C7*C15/60000</f>
        <v>0.904875</v>
      </c>
      <c r="D23" s="476" t="s">
        <v>1373</v>
      </c>
      <c r="Y23" s="550" t="s">
        <v>1374</v>
      </c>
      <c r="Z23" s="550">
        <f t="shared" si="0"/>
        <v>25.4</v>
      </c>
    </row>
    <row r="24" ht="14.4" spans="1:26">
      <c r="A24" s="492"/>
      <c r="B24" s="499" t="s">
        <v>1375</v>
      </c>
      <c r="C24" s="332" t="s">
        <v>1376</v>
      </c>
      <c r="D24" s="509" t="s">
        <v>356</v>
      </c>
      <c r="Y24" s="550" t="s">
        <v>1377</v>
      </c>
      <c r="Z24" s="550">
        <f t="shared" si="0"/>
        <v>25.4</v>
      </c>
    </row>
    <row r="25" ht="14.4" spans="1:26">
      <c r="A25" s="510" t="s">
        <v>1378</v>
      </c>
      <c r="B25" s="476" t="s">
        <v>1379</v>
      </c>
      <c r="C25" s="496">
        <f>1000*C4/C23</f>
        <v>3315.37505180274</v>
      </c>
      <c r="D25" s="476" t="s">
        <v>1380</v>
      </c>
      <c r="Y25" s="550" t="s">
        <v>1350</v>
      </c>
      <c r="Z25" s="550">
        <f t="shared" si="0"/>
        <v>31.75</v>
      </c>
    </row>
    <row r="26" ht="14.4" spans="1:26">
      <c r="A26" s="510"/>
      <c r="B26" s="476" t="s">
        <v>1381</v>
      </c>
      <c r="C26" s="477">
        <v>1.15</v>
      </c>
      <c r="D26" s="476" t="s">
        <v>1382</v>
      </c>
      <c r="Y26" s="550" t="s">
        <v>1383</v>
      </c>
      <c r="Z26" s="550">
        <f t="shared" si="0"/>
        <v>31.75</v>
      </c>
    </row>
    <row r="27" ht="14.4" spans="1:26">
      <c r="A27" s="510"/>
      <c r="B27" s="511" t="s">
        <v>1384</v>
      </c>
      <c r="C27" s="496">
        <f>C26*C25</f>
        <v>3812.68130957314</v>
      </c>
      <c r="D27" s="476" t="s">
        <v>1385</v>
      </c>
      <c r="Y27" s="550" t="s">
        <v>1386</v>
      </c>
      <c r="Z27" s="550">
        <f t="shared" si="0"/>
        <v>38.1</v>
      </c>
    </row>
    <row r="28" ht="14.25" customHeight="1" spans="1:26">
      <c r="A28" s="512" t="s">
        <v>1387</v>
      </c>
      <c r="B28" s="513" t="str">
        <f>C14&amp;"-"&amp;IF(C12=X2,1,IF(C12=X3,2,IF(C12=X4,3,1)))&amp;"-"&amp;C18&amp;" GB/T1243-1997"</f>
        <v>20A-1-104 GB/T1243-1997</v>
      </c>
      <c r="C28" s="514"/>
      <c r="D28" s="476" t="s">
        <v>1388</v>
      </c>
      <c r="Y28" s="550" t="s">
        <v>1389</v>
      </c>
      <c r="Z28" s="550">
        <f t="shared" si="0"/>
        <v>38.1</v>
      </c>
    </row>
    <row r="29" ht="14.55" spans="1:26">
      <c r="A29" s="474"/>
      <c r="B29" s="474"/>
      <c r="C29" s="475"/>
      <c r="D29" s="474"/>
      <c r="Y29" s="550" t="s">
        <v>1390</v>
      </c>
      <c r="Z29" s="550">
        <f t="shared" si="0"/>
        <v>44.45</v>
      </c>
    </row>
    <row r="30" ht="13.8" spans="1:26">
      <c r="A30" s="515" t="s">
        <v>1391</v>
      </c>
      <c r="B30" s="516"/>
      <c r="C30" s="516"/>
      <c r="D30" s="517"/>
      <c r="Y30" s="550" t="s">
        <v>1392</v>
      </c>
      <c r="Z30" s="550">
        <f t="shared" si="0"/>
        <v>44.45</v>
      </c>
    </row>
    <row r="31" ht="13.8" spans="1:26">
      <c r="A31" s="518"/>
      <c r="B31" s="519"/>
      <c r="C31" s="519"/>
      <c r="D31" s="520"/>
      <c r="Y31" s="550" t="s">
        <v>1393</v>
      </c>
      <c r="Z31" s="550">
        <f t="shared" si="0"/>
        <v>50.8</v>
      </c>
    </row>
    <row r="32" ht="13.8" spans="1:26">
      <c r="A32" s="518"/>
      <c r="B32" s="519"/>
      <c r="C32" s="519"/>
      <c r="D32" s="520"/>
      <c r="Y32" s="550" t="s">
        <v>1394</v>
      </c>
      <c r="Z32" s="550">
        <f t="shared" si="0"/>
        <v>50.8</v>
      </c>
    </row>
    <row r="33" ht="13.8" spans="1:26">
      <c r="A33" s="518"/>
      <c r="B33" s="519"/>
      <c r="C33" s="519"/>
      <c r="D33" s="520"/>
      <c r="Y33" s="550" t="s">
        <v>1395</v>
      </c>
      <c r="Z33" s="550">
        <f t="shared" si="0"/>
        <v>57.15</v>
      </c>
    </row>
    <row r="34" ht="13.8" spans="1:26">
      <c r="A34" s="518"/>
      <c r="B34" s="519"/>
      <c r="C34" s="519"/>
      <c r="D34" s="520"/>
      <c r="Y34" s="550" t="s">
        <v>1396</v>
      </c>
      <c r="Z34" s="550">
        <f t="shared" si="0"/>
        <v>63.5</v>
      </c>
    </row>
    <row r="35" ht="13.8" spans="1:26">
      <c r="A35" s="518"/>
      <c r="B35" s="519"/>
      <c r="C35" s="519"/>
      <c r="D35" s="520"/>
      <c r="Y35" s="550" t="s">
        <v>1397</v>
      </c>
      <c r="Z35" s="550">
        <f t="shared" si="0"/>
        <v>63.5</v>
      </c>
    </row>
    <row r="36" ht="13.8" spans="1:26">
      <c r="A36" s="518"/>
      <c r="B36" s="519"/>
      <c r="C36" s="519"/>
      <c r="D36" s="520"/>
      <c r="Y36" s="550" t="s">
        <v>1398</v>
      </c>
      <c r="Z36" s="550">
        <f t="shared" si="0"/>
        <v>76.2</v>
      </c>
    </row>
    <row r="37" ht="14.4" spans="1:26">
      <c r="A37" s="518"/>
      <c r="B37" s="519"/>
      <c r="C37" s="519"/>
      <c r="D37" s="520"/>
      <c r="F37" t="s">
        <v>1399</v>
      </c>
      <c r="T37" s="548" t="s">
        <v>1375</v>
      </c>
      <c r="Y37" s="550" t="s">
        <v>1400</v>
      </c>
      <c r="Z37" s="550">
        <f t="shared" si="0"/>
        <v>76.2</v>
      </c>
    </row>
    <row r="38" ht="14.4" spans="1:26">
      <c r="A38" s="518"/>
      <c r="B38" s="519"/>
      <c r="C38" s="519"/>
      <c r="D38" s="520"/>
      <c r="K38" s="541" t="s">
        <v>1401</v>
      </c>
      <c r="L38" s="541"/>
      <c r="M38" s="541"/>
      <c r="N38" s="541"/>
      <c r="O38" s="541"/>
      <c r="T38" s="545" t="s">
        <v>1402</v>
      </c>
      <c r="Y38" s="550" t="s">
        <v>1403</v>
      </c>
      <c r="Z38" s="550">
        <f t="shared" si="0"/>
        <v>88.9</v>
      </c>
    </row>
    <row r="39" ht="14.4" spans="1:26">
      <c r="A39" s="518"/>
      <c r="B39" s="519"/>
      <c r="C39" s="519"/>
      <c r="D39" s="520"/>
      <c r="K39" s="541"/>
      <c r="L39" s="541"/>
      <c r="M39" s="541"/>
      <c r="N39" s="541"/>
      <c r="O39" s="541"/>
      <c r="T39" s="545" t="s">
        <v>1376</v>
      </c>
      <c r="Y39" s="550" t="s">
        <v>1404</v>
      </c>
      <c r="Z39" s="550">
        <f t="shared" si="0"/>
        <v>101.6</v>
      </c>
    </row>
    <row r="40" ht="15.15" spans="1:26">
      <c r="A40" s="521"/>
      <c r="B40" s="522"/>
      <c r="C40" s="522"/>
      <c r="D40" s="523"/>
      <c r="K40" s="541"/>
      <c r="L40" s="541"/>
      <c r="M40" s="541"/>
      <c r="N40" s="541"/>
      <c r="O40" s="541"/>
      <c r="T40" s="545" t="s">
        <v>1405</v>
      </c>
      <c r="Y40" s="550" t="s">
        <v>1406</v>
      </c>
      <c r="Z40" s="550">
        <f t="shared" si="0"/>
        <v>114.3</v>
      </c>
    </row>
    <row r="41" ht="14.25" customHeight="1" spans="1:20">
      <c r="A41" s="524" t="s">
        <v>1407</v>
      </c>
      <c r="B41" s="525"/>
      <c r="C41" s="525"/>
      <c r="D41" s="526"/>
      <c r="K41" s="541"/>
      <c r="L41" s="541"/>
      <c r="M41" s="541"/>
      <c r="N41" s="541"/>
      <c r="O41" s="541"/>
      <c r="T41" s="545" t="s">
        <v>1408</v>
      </c>
    </row>
    <row r="42" ht="14.25" customHeight="1" spans="1:4">
      <c r="A42" s="527"/>
      <c r="B42" s="528"/>
      <c r="C42" s="528"/>
      <c r="D42" s="529"/>
    </row>
    <row r="43" ht="14.25" customHeight="1" spans="1:15">
      <c r="A43" s="527"/>
      <c r="B43" s="528"/>
      <c r="C43" s="528"/>
      <c r="D43" s="529"/>
      <c r="K43" s="541" t="s">
        <v>1409</v>
      </c>
      <c r="L43" s="541"/>
      <c r="M43" s="541"/>
      <c r="N43" s="541"/>
      <c r="O43" s="541"/>
    </row>
    <row r="44" ht="13.8" spans="1:15">
      <c r="A44" s="527"/>
      <c r="B44" s="528"/>
      <c r="C44" s="528"/>
      <c r="D44" s="529"/>
      <c r="K44" s="541"/>
      <c r="L44" s="541"/>
      <c r="M44" s="541"/>
      <c r="N44" s="541"/>
      <c r="O44" s="541"/>
    </row>
    <row r="45" ht="14.4" spans="1:15">
      <c r="A45" s="527"/>
      <c r="B45" s="528"/>
      <c r="C45" s="528"/>
      <c r="D45" s="529"/>
      <c r="F45" s="480"/>
      <c r="K45" s="541"/>
      <c r="L45" s="541"/>
      <c r="M45" s="541"/>
      <c r="N45" s="541"/>
      <c r="O45" s="541"/>
    </row>
    <row r="46" ht="13.8" spans="1:15">
      <c r="A46" s="527"/>
      <c r="B46" s="528"/>
      <c r="C46" s="528"/>
      <c r="D46" s="529"/>
      <c r="K46" s="541"/>
      <c r="L46" s="541"/>
      <c r="M46" s="541"/>
      <c r="N46" s="541"/>
      <c r="O46" s="541"/>
    </row>
    <row r="47" ht="14.55" spans="1:15">
      <c r="A47" s="530"/>
      <c r="B47" s="531"/>
      <c r="C47" s="531"/>
      <c r="D47" s="532"/>
      <c r="K47" s="541"/>
      <c r="L47" s="541"/>
      <c r="M47" s="541"/>
      <c r="N47" s="541"/>
      <c r="O47" s="541"/>
    </row>
    <row r="48" ht="14.25" customHeight="1" spans="1:15">
      <c r="A48" s="533"/>
      <c r="B48" s="533"/>
      <c r="C48" s="533"/>
      <c r="D48" s="533"/>
      <c r="K48" s="541"/>
      <c r="L48" s="541"/>
      <c r="M48" s="541"/>
      <c r="N48" s="541"/>
      <c r="O48" s="541"/>
    </row>
    <row r="49" ht="14.4" spans="1:15">
      <c r="A49" s="534" t="s">
        <v>1410</v>
      </c>
      <c r="B49" s="533"/>
      <c r="C49" s="533"/>
      <c r="D49" s="533"/>
      <c r="K49" s="541"/>
      <c r="L49" s="541"/>
      <c r="M49" s="541"/>
      <c r="N49" s="541"/>
      <c r="O49" s="541"/>
    </row>
    <row r="50" ht="14.4" spans="1:15">
      <c r="A50" s="533"/>
      <c r="B50" s="533"/>
      <c r="C50" s="533"/>
      <c r="D50" s="533"/>
      <c r="K50" s="542"/>
      <c r="L50" s="542"/>
      <c r="M50" s="542"/>
      <c r="N50" s="542"/>
      <c r="O50" s="542"/>
    </row>
    <row r="51" ht="14.4" spans="1:15">
      <c r="A51" s="533"/>
      <c r="B51" s="533"/>
      <c r="C51" s="533"/>
      <c r="D51" s="533"/>
      <c r="K51" s="541" t="s">
        <v>1411</v>
      </c>
      <c r="L51" s="541"/>
      <c r="M51" s="541"/>
      <c r="N51" s="541"/>
      <c r="O51" s="541"/>
    </row>
    <row r="52" ht="14.4" spans="1:15">
      <c r="A52" s="533"/>
      <c r="B52" s="533"/>
      <c r="C52" s="533"/>
      <c r="D52" s="533"/>
      <c r="K52" s="541"/>
      <c r="L52" s="541"/>
      <c r="M52" s="541"/>
      <c r="N52" s="541"/>
      <c r="O52" s="541"/>
    </row>
    <row r="53" ht="14.4" spans="1:15">
      <c r="A53" s="533"/>
      <c r="B53" s="533"/>
      <c r="C53" s="533"/>
      <c r="D53" s="533"/>
      <c r="K53" s="541"/>
      <c r="L53" s="541"/>
      <c r="M53" s="541"/>
      <c r="N53" s="541"/>
      <c r="O53" s="541"/>
    </row>
    <row r="54" ht="14.4" spans="1:15">
      <c r="A54" s="533"/>
      <c r="B54" s="533"/>
      <c r="C54" s="533"/>
      <c r="D54" s="533"/>
      <c r="K54" s="541"/>
      <c r="L54" s="541"/>
      <c r="M54" s="541"/>
      <c r="N54" s="541"/>
      <c r="O54" s="541"/>
    </row>
    <row r="55" ht="13.8" spans="1:15">
      <c r="A55" s="474"/>
      <c r="B55" s="474"/>
      <c r="C55" s="475"/>
      <c r="D55" s="474"/>
      <c r="K55" s="542"/>
      <c r="L55" s="542"/>
      <c r="M55" s="542"/>
      <c r="N55" s="542"/>
      <c r="O55" s="542"/>
    </row>
    <row r="56" ht="13.8" spans="1:15">
      <c r="A56" s="474"/>
      <c r="B56" s="474"/>
      <c r="C56" s="475"/>
      <c r="D56" s="474"/>
      <c r="K56" s="543" t="s">
        <v>1412</v>
      </c>
      <c r="L56" s="541"/>
      <c r="M56" s="541"/>
      <c r="N56" s="541"/>
      <c r="O56" s="541"/>
    </row>
    <row r="57" ht="13.8" spans="1:15">
      <c r="A57" s="474"/>
      <c r="B57" s="474"/>
      <c r="C57" s="475"/>
      <c r="D57" s="474"/>
      <c r="K57" s="541"/>
      <c r="L57" s="541"/>
      <c r="M57" s="541"/>
      <c r="N57" s="541"/>
      <c r="O57" s="541"/>
    </row>
    <row r="58" ht="13.8" spans="1:15">
      <c r="A58" s="474"/>
      <c r="B58" s="474"/>
      <c r="C58" s="475"/>
      <c r="D58" s="474"/>
      <c r="K58" s="541"/>
      <c r="L58" s="541"/>
      <c r="M58" s="541"/>
      <c r="N58" s="541"/>
      <c r="O58" s="541"/>
    </row>
    <row r="59" ht="13.8" spans="1:15">
      <c r="A59" s="474"/>
      <c r="B59" s="474"/>
      <c r="C59" s="475"/>
      <c r="D59" s="474"/>
      <c r="K59" s="542"/>
      <c r="L59" s="542"/>
      <c r="M59" s="542"/>
      <c r="N59" s="542"/>
      <c r="O59" s="542"/>
    </row>
    <row r="60" ht="13.8" spans="1:15">
      <c r="A60" s="474"/>
      <c r="B60" s="474"/>
      <c r="C60" s="475"/>
      <c r="D60" s="474"/>
      <c r="K60" s="543" t="s">
        <v>1413</v>
      </c>
      <c r="L60" s="543"/>
      <c r="M60" s="543"/>
      <c r="N60" s="543"/>
      <c r="O60" s="543"/>
    </row>
    <row r="61" ht="13.8" spans="1:15">
      <c r="A61" s="474"/>
      <c r="B61" s="474"/>
      <c r="C61" s="475"/>
      <c r="D61" s="474"/>
      <c r="K61" s="543"/>
      <c r="L61" s="543"/>
      <c r="M61" s="543"/>
      <c r="N61" s="543"/>
      <c r="O61" s="543"/>
    </row>
    <row r="62" ht="13.8" spans="1:15">
      <c r="A62" s="474"/>
      <c r="B62" s="474"/>
      <c r="C62" s="475"/>
      <c r="D62" s="474"/>
      <c r="K62" s="543"/>
      <c r="L62" s="543"/>
      <c r="M62" s="543"/>
      <c r="N62" s="543"/>
      <c r="O62" s="543"/>
    </row>
    <row r="63" ht="14.25" customHeight="1" spans="1:15">
      <c r="A63" s="474"/>
      <c r="B63" s="474"/>
      <c r="C63" s="475"/>
      <c r="D63" s="474"/>
      <c r="K63" s="543"/>
      <c r="L63" s="543"/>
      <c r="M63" s="543"/>
      <c r="N63" s="543"/>
      <c r="O63" s="543"/>
    </row>
    <row r="64" ht="13.8" spans="1:4">
      <c r="A64" s="474"/>
      <c r="B64" s="474"/>
      <c r="C64" s="475"/>
      <c r="D64" s="474"/>
    </row>
    <row r="65" ht="13.8" spans="1:4">
      <c r="A65" s="474"/>
      <c r="B65" s="474"/>
      <c r="C65" s="475"/>
      <c r="D65" s="474"/>
    </row>
    <row r="66" ht="14.4" spans="1:4">
      <c r="A66" t="s">
        <v>1414</v>
      </c>
      <c r="B66" s="474"/>
      <c r="C66" s="475"/>
      <c r="D66" s="474"/>
    </row>
    <row r="67" ht="13.8" spans="1:4">
      <c r="A67" s="474"/>
      <c r="B67" s="474"/>
      <c r="C67" s="475"/>
      <c r="D67" s="474"/>
    </row>
    <row r="68" ht="13.8" spans="1:4">
      <c r="A68" s="474"/>
      <c r="B68" s="474"/>
      <c r="C68" s="475"/>
      <c r="D68" s="474"/>
    </row>
    <row r="69" ht="13.8" spans="1:4">
      <c r="A69" s="474"/>
      <c r="B69" s="474"/>
      <c r="C69" s="475"/>
      <c r="D69" s="474"/>
    </row>
    <row r="70" ht="13.8" spans="1:4">
      <c r="A70" s="474"/>
      <c r="B70" s="474"/>
      <c r="C70" s="475"/>
      <c r="D70" s="474"/>
    </row>
    <row r="71" ht="13.8" spans="1:4">
      <c r="A71" s="474"/>
      <c r="B71" s="474"/>
      <c r="C71" s="475"/>
      <c r="D71" s="474"/>
    </row>
    <row r="72" ht="13.8" spans="1:4">
      <c r="A72" s="474"/>
      <c r="B72" s="474"/>
      <c r="C72" s="475"/>
      <c r="D72" s="474"/>
    </row>
    <row r="73" ht="13.8" spans="1:4">
      <c r="A73" s="474"/>
      <c r="B73" s="474"/>
      <c r="C73" s="475"/>
      <c r="D73" s="474"/>
    </row>
    <row r="74" ht="13.8" spans="1:4">
      <c r="A74" s="474"/>
      <c r="B74" s="474"/>
      <c r="C74" s="475"/>
      <c r="D74" s="474"/>
    </row>
    <row r="75" ht="13.8" spans="1:4">
      <c r="A75" s="474"/>
      <c r="B75" s="474"/>
      <c r="C75" s="475"/>
      <c r="D75" s="474"/>
    </row>
    <row r="76" ht="13.8" spans="1:4">
      <c r="A76" s="474"/>
      <c r="B76" s="474"/>
      <c r="C76" s="475"/>
      <c r="D76" s="474"/>
    </row>
    <row r="77" ht="13.8" spans="1:4">
      <c r="A77" s="474"/>
      <c r="B77" s="474"/>
      <c r="C77" s="475"/>
      <c r="D77" s="474"/>
    </row>
    <row r="78" ht="13.8" spans="1:4">
      <c r="A78" s="474"/>
      <c r="B78" s="474"/>
      <c r="C78" s="475"/>
      <c r="D78" s="474"/>
    </row>
    <row r="79" ht="13.8" spans="1:4">
      <c r="A79" s="474"/>
      <c r="B79" s="474"/>
      <c r="C79" s="475"/>
      <c r="D79" s="474"/>
    </row>
    <row r="80" ht="13.8" spans="1:4">
      <c r="A80" s="474"/>
      <c r="B80" s="474"/>
      <c r="C80" s="475"/>
      <c r="D80" s="474"/>
    </row>
    <row r="81" ht="13.8" spans="1:4">
      <c r="A81" s="474"/>
      <c r="B81" s="474"/>
      <c r="C81" s="475"/>
      <c r="D81" s="474"/>
    </row>
    <row r="82" ht="13.8" spans="1:4">
      <c r="A82" s="474"/>
      <c r="B82" s="474"/>
      <c r="C82" s="475"/>
      <c r="D82" s="474"/>
    </row>
    <row r="83" ht="15" customHeight="1" spans="1:4">
      <c r="A83" s="474"/>
      <c r="B83" s="474"/>
      <c r="C83" s="475"/>
      <c r="D83" s="474"/>
    </row>
    <row r="84" ht="13.8" spans="1:4">
      <c r="A84" s="474"/>
      <c r="B84" s="474"/>
      <c r="C84" s="475"/>
      <c r="D84" s="474"/>
    </row>
    <row r="85" ht="13.8" spans="1:4">
      <c r="A85" s="474"/>
      <c r="B85" s="474"/>
      <c r="C85" s="475"/>
      <c r="D85" s="474"/>
    </row>
    <row r="86" ht="13.8" spans="1:4">
      <c r="A86" s="474"/>
      <c r="B86" s="474"/>
      <c r="C86" s="475"/>
      <c r="D86" s="474"/>
    </row>
    <row r="87" ht="14.25" customHeight="1" spans="1:4">
      <c r="A87" s="474"/>
      <c r="B87" s="474"/>
      <c r="C87" s="475"/>
      <c r="D87" s="474"/>
    </row>
    <row r="88" ht="14.25" customHeight="1" spans="1:4">
      <c r="A88" s="474"/>
      <c r="B88" s="474"/>
      <c r="C88" s="475"/>
      <c r="D88" s="474"/>
    </row>
    <row r="89" ht="14.25" customHeight="1"/>
    <row r="90" ht="15" customHeight="1"/>
    <row r="91" ht="14.25" customHeight="1"/>
    <row r="92" ht="14.25" customHeight="1"/>
    <row r="93" ht="14.25" customHeight="1"/>
    <row r="94" ht="14.25" customHeight="1" spans="1:4">
      <c r="A94" s="524" t="s">
        <v>1415</v>
      </c>
      <c r="B94" s="525"/>
      <c r="C94" s="525"/>
      <c r="D94" s="526"/>
    </row>
    <row r="95" ht="14.25" customHeight="1" spans="1:4">
      <c r="A95" s="527"/>
      <c r="B95" s="528"/>
      <c r="C95" s="528"/>
      <c r="D95" s="529"/>
    </row>
    <row r="96" ht="14.25" customHeight="1" spans="1:4">
      <c r="A96" s="527"/>
      <c r="B96" s="528"/>
      <c r="C96" s="528"/>
      <c r="D96" s="529"/>
    </row>
    <row r="97" ht="15" customHeight="1" spans="1:4">
      <c r="A97" s="527"/>
      <c r="B97" s="528"/>
      <c r="C97" s="528"/>
      <c r="D97" s="529"/>
    </row>
    <row r="98" ht="14.25" customHeight="1" spans="1:4">
      <c r="A98" s="527"/>
      <c r="B98" s="528"/>
      <c r="C98" s="528"/>
      <c r="D98" s="529"/>
    </row>
    <row r="99" ht="14.25" customHeight="1" spans="1:4">
      <c r="A99" s="527"/>
      <c r="B99" s="528"/>
      <c r="C99" s="528"/>
      <c r="D99" s="529"/>
    </row>
    <row r="100" ht="14.25" customHeight="1" spans="1:4">
      <c r="A100" s="530"/>
      <c r="B100" s="531"/>
      <c r="C100" s="531"/>
      <c r="D100" s="532"/>
    </row>
    <row r="101" ht="14.25" customHeight="1"/>
    <row r="102" ht="14.25" customHeight="1"/>
    <row r="103" ht="15" customHeight="1"/>
    <row r="104" ht="15" customHeight="1"/>
    <row r="105" ht="15" customHeight="1"/>
    <row r="106" ht="13.8"/>
    <row r="107" ht="16.5" customHeight="1"/>
    <row r="108" ht="13.8"/>
    <row r="109" ht="13.8"/>
    <row r="110" ht="13.8"/>
    <row r="111" ht="13.8"/>
    <row r="112" ht="13.8"/>
    <row r="113" ht="13.8"/>
    <row r="114" ht="13.8"/>
    <row r="115" ht="13.8"/>
    <row r="116" ht="13.8"/>
    <row r="117" ht="13.8"/>
    <row r="118" ht="13.8"/>
    <row r="119" ht="13.8"/>
    <row r="120" ht="13.8"/>
    <row r="121" ht="13.8"/>
    <row r="122" customHeight="1" spans="1:1">
      <c r="A122" t="s">
        <v>1416</v>
      </c>
    </row>
    <row r="123" ht="13.8"/>
    <row r="124" ht="13.8"/>
    <row r="125" ht="13.8"/>
    <row r="156" customHeight="1" spans="1:1">
      <c r="A156" t="s">
        <v>1417</v>
      </c>
    </row>
  </sheetData>
  <customSheetViews>
    <customSheetView guid="{27B96A40-A6B2-43F7-A93C-713F4207CB2A}">
      <selection activeCell="N6" sqref="N6"/>
      <pageMargins left="0.7" right="0.7" top="0.75" bottom="0.75" header="0.3" footer="0.3"/>
      <headerFooter/>
    </customSheetView>
  </customSheetViews>
  <mergeCells count="33">
    <mergeCell ref="A1:D1"/>
    <mergeCell ref="G3:L3"/>
    <mergeCell ref="G7:L7"/>
    <mergeCell ref="G8:H8"/>
    <mergeCell ref="I8:J8"/>
    <mergeCell ref="K8:L8"/>
    <mergeCell ref="G9:H9"/>
    <mergeCell ref="I9:J9"/>
    <mergeCell ref="K9:L9"/>
    <mergeCell ref="G10:H10"/>
    <mergeCell ref="I10:J10"/>
    <mergeCell ref="K10:L10"/>
    <mergeCell ref="G11:H11"/>
    <mergeCell ref="I11:J11"/>
    <mergeCell ref="K11:L11"/>
    <mergeCell ref="B28:C28"/>
    <mergeCell ref="A4:A6"/>
    <mergeCell ref="A7:A9"/>
    <mergeCell ref="A10:A13"/>
    <mergeCell ref="A14:A15"/>
    <mergeCell ref="A16:A22"/>
    <mergeCell ref="A23:A24"/>
    <mergeCell ref="A25:A27"/>
    <mergeCell ref="D17:D18"/>
    <mergeCell ref="F7:F8"/>
    <mergeCell ref="A94:D100"/>
    <mergeCell ref="A30:D40"/>
    <mergeCell ref="K38:O41"/>
    <mergeCell ref="K43:O48"/>
    <mergeCell ref="K51:O53"/>
    <mergeCell ref="A41:D47"/>
    <mergeCell ref="K56:O58"/>
    <mergeCell ref="K60:O63"/>
  </mergeCells>
  <dataValidations count="3">
    <dataValidation type="list" allowBlank="1" showInputMessage="1" showErrorMessage="1" sqref="C12">
      <formula1>$X$2:$X$4</formula1>
    </dataValidation>
    <dataValidation type="list" allowBlank="1" showInputMessage="1" showErrorMessage="1" sqref="C14">
      <formula1>$Y$15:$Y$38</formula1>
    </dataValidation>
    <dataValidation type="list" allowBlank="1" showInputMessage="1" showErrorMessage="1" sqref="C24">
      <formula1>$T$38:$T$41</formula1>
    </dataValidation>
  </dataValidations>
  <pageMargins left="0.7" right="0.7" top="0.75" bottom="0.75" header="0.3" footer="0.3"/>
  <headerFooter/>
  <drawing r:id="rId2"/>
  <legacyDrawing r:id="rId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G91"/>
  <sheetViews>
    <sheetView workbookViewId="0">
      <selection activeCell="A1" sqref="A1:D1"/>
    </sheetView>
  </sheetViews>
  <sheetFormatPr defaultColWidth="15.625" defaultRowHeight="20.1" customHeight="1"/>
  <cols>
    <col min="1" max="1" width="15.625" style="82"/>
    <col min="2" max="2" width="25.875" style="82" customWidth="1"/>
    <col min="3" max="3" width="15.625" style="83"/>
    <col min="4" max="4" width="17.625" style="82" customWidth="1"/>
    <col min="5" max="5" width="7.875" style="82" customWidth="1"/>
    <col min="6" max="20" width="10.625" style="82" customWidth="1"/>
    <col min="21" max="27" width="8.625" style="82" customWidth="1"/>
    <col min="28" max="16384" width="15.625" style="82"/>
  </cols>
  <sheetData>
    <row r="1" ht="21.95" customHeight="1" spans="1:4">
      <c r="A1" s="358" t="s">
        <v>1418</v>
      </c>
      <c r="B1" s="125"/>
      <c r="C1" s="125"/>
      <c r="D1" s="125"/>
    </row>
    <row r="2" customHeight="1" spans="1:1">
      <c r="A2" s="106" t="s">
        <v>1419</v>
      </c>
    </row>
    <row r="3" customHeight="1" spans="1:32">
      <c r="A3" s="9" t="s">
        <v>269</v>
      </c>
      <c r="B3" s="9" t="s">
        <v>270</v>
      </c>
      <c r="C3" s="32" t="s">
        <v>271</v>
      </c>
      <c r="D3" s="9" t="s">
        <v>272</v>
      </c>
      <c r="X3" s="115"/>
      <c r="Y3" s="115"/>
      <c r="Z3" s="115"/>
      <c r="AA3" s="115"/>
      <c r="AB3" s="115"/>
      <c r="AC3" s="115"/>
      <c r="AD3" s="115"/>
      <c r="AE3" s="115"/>
      <c r="AF3" s="115"/>
    </row>
    <row r="4" customHeight="1" spans="1:32">
      <c r="A4" s="42" t="s">
        <v>1083</v>
      </c>
      <c r="B4" s="9" t="s">
        <v>1420</v>
      </c>
      <c r="C4" s="91">
        <v>200</v>
      </c>
      <c r="D4" s="9"/>
      <c r="X4" s="115"/>
      <c r="Y4" s="115"/>
      <c r="Z4" s="115"/>
      <c r="AA4" s="115"/>
      <c r="AB4" s="115"/>
      <c r="AC4" s="115"/>
      <c r="AD4" s="115"/>
      <c r="AE4" s="115"/>
      <c r="AF4" s="115"/>
    </row>
    <row r="5" customHeight="1" spans="1:33">
      <c r="A5" s="436"/>
      <c r="B5" s="9" t="s">
        <v>1421</v>
      </c>
      <c r="C5" s="91">
        <v>2</v>
      </c>
      <c r="D5" s="9"/>
      <c r="Y5" s="1"/>
      <c r="Z5" s="1"/>
      <c r="AA5" s="1"/>
      <c r="AB5" s="1"/>
      <c r="AC5" s="1"/>
      <c r="AD5" s="1"/>
      <c r="AE5" s="1"/>
      <c r="AF5" s="1"/>
      <c r="AG5" s="1"/>
    </row>
    <row r="6" customHeight="1" spans="1:33">
      <c r="A6" s="436"/>
      <c r="B6" s="9" t="s">
        <v>1422</v>
      </c>
      <c r="C6" s="91">
        <v>0.8</v>
      </c>
      <c r="D6" s="9"/>
      <c r="Y6" s="114"/>
      <c r="Z6" s="114"/>
      <c r="AA6" s="114"/>
      <c r="AB6" s="114"/>
      <c r="AC6" s="114"/>
      <c r="AD6" s="114"/>
      <c r="AE6" s="114"/>
      <c r="AF6" s="114"/>
      <c r="AG6" s="114"/>
    </row>
    <row r="7" customHeight="1" spans="1:28">
      <c r="A7" s="436"/>
      <c r="B7" s="9" t="s">
        <v>1423</v>
      </c>
      <c r="C7" s="91">
        <v>70</v>
      </c>
      <c r="D7" s="9"/>
      <c r="F7" s="82" t="s">
        <v>1424</v>
      </c>
      <c r="Y7" s="114"/>
      <c r="Z7" s="114"/>
      <c r="AA7" s="114"/>
      <c r="AB7" s="114"/>
    </row>
    <row r="8" customHeight="1" spans="1:33">
      <c r="A8" s="436"/>
      <c r="B8" s="9" t="s">
        <v>1425</v>
      </c>
      <c r="C8" s="91">
        <v>62.5</v>
      </c>
      <c r="D8" s="9"/>
      <c r="F8" s="92" t="s">
        <v>1426</v>
      </c>
      <c r="G8" s="28" t="s">
        <v>1427</v>
      </c>
      <c r="H8" s="28" t="s">
        <v>130</v>
      </c>
      <c r="I8" s="253" t="s">
        <v>1428</v>
      </c>
      <c r="J8" s="253" t="s">
        <v>1429</v>
      </c>
      <c r="K8" s="253" t="s">
        <v>943</v>
      </c>
      <c r="L8" s="253" t="s">
        <v>1430</v>
      </c>
      <c r="M8" s="253" t="s">
        <v>1431</v>
      </c>
      <c r="Y8" s="114"/>
      <c r="Z8" s="114"/>
      <c r="AA8" s="114"/>
      <c r="AB8" s="114"/>
      <c r="AC8" s="114"/>
      <c r="AD8" s="114"/>
      <c r="AE8" s="114"/>
      <c r="AF8" s="114"/>
      <c r="AG8" s="114"/>
    </row>
    <row r="9" customHeight="1" spans="1:33">
      <c r="A9" s="44"/>
      <c r="B9" s="9" t="s">
        <v>1432</v>
      </c>
      <c r="C9" s="91">
        <v>62.5</v>
      </c>
      <c r="D9" s="9"/>
      <c r="F9" s="9" t="s">
        <v>606</v>
      </c>
      <c r="G9" s="28">
        <v>1</v>
      </c>
      <c r="H9" s="28">
        <v>1.2</v>
      </c>
      <c r="I9" s="28">
        <v>1.4</v>
      </c>
      <c r="J9" s="253">
        <v>1.6</v>
      </c>
      <c r="K9" s="253">
        <v>2.2</v>
      </c>
      <c r="L9" s="253">
        <v>2.8</v>
      </c>
      <c r="M9" s="253">
        <v>3.2</v>
      </c>
      <c r="Y9" s="114"/>
      <c r="Z9" s="114"/>
      <c r="AA9" s="114"/>
      <c r="AB9" s="114"/>
      <c r="AC9" s="114"/>
      <c r="AD9" s="114"/>
      <c r="AE9" s="114"/>
      <c r="AF9" s="114"/>
      <c r="AG9" s="114"/>
    </row>
    <row r="10" customHeight="1" spans="1:33">
      <c r="A10" s="100" t="s">
        <v>1433</v>
      </c>
      <c r="B10" s="9" t="s">
        <v>1434</v>
      </c>
      <c r="C10" s="91">
        <v>2.5</v>
      </c>
      <c r="D10" s="437" t="s">
        <v>1435</v>
      </c>
      <c r="F10" s="222" t="s">
        <v>1436</v>
      </c>
      <c r="Y10" s="114"/>
      <c r="Z10" s="114"/>
      <c r="AA10" s="114"/>
      <c r="AB10" s="114"/>
      <c r="AC10" s="114"/>
      <c r="AD10" s="114"/>
      <c r="AE10" s="114"/>
      <c r="AF10" s="114"/>
      <c r="AG10" s="114"/>
    </row>
    <row r="11" customHeight="1" spans="1:28">
      <c r="A11" s="101"/>
      <c r="B11" s="9" t="s">
        <v>1437</v>
      </c>
      <c r="C11" s="127">
        <f>C4/C10/1000</f>
        <v>0.08</v>
      </c>
      <c r="D11" s="437"/>
      <c r="F11" s="222"/>
      <c r="Y11" s="114"/>
      <c r="Z11" s="114"/>
      <c r="AA11" s="114"/>
      <c r="AB11" s="114"/>
    </row>
    <row r="12" customHeight="1" spans="1:28">
      <c r="A12" s="101"/>
      <c r="B12" s="9" t="s">
        <v>1438</v>
      </c>
      <c r="C12" s="91">
        <v>1</v>
      </c>
      <c r="D12" s="437" t="s">
        <v>1337</v>
      </c>
      <c r="F12" s="222" t="s">
        <v>1439</v>
      </c>
      <c r="Y12" s="114"/>
      <c r="Z12" s="114"/>
      <c r="AA12" s="114"/>
      <c r="AB12" s="114"/>
    </row>
    <row r="13" customHeight="1" spans="1:28">
      <c r="A13" s="101"/>
      <c r="B13" s="92" t="s">
        <v>1440</v>
      </c>
      <c r="C13" s="151" t="s">
        <v>1441</v>
      </c>
      <c r="D13" s="437" t="s">
        <v>1442</v>
      </c>
      <c r="F13" s="438" t="s">
        <v>1443</v>
      </c>
      <c r="G13" s="439"/>
      <c r="H13" s="440" t="s">
        <v>1444</v>
      </c>
      <c r="I13" s="401"/>
      <c r="J13" s="401"/>
      <c r="K13" s="401"/>
      <c r="L13" s="401"/>
      <c r="M13" s="401"/>
      <c r="Y13" s="114"/>
      <c r="Z13" s="114"/>
      <c r="AA13" s="114"/>
      <c r="AB13" s="114"/>
    </row>
    <row r="14" customHeight="1" spans="1:28">
      <c r="A14" s="101"/>
      <c r="B14" s="9" t="s">
        <v>1445</v>
      </c>
      <c r="C14" s="32">
        <f>IF(C13=G14,0.1,IF(OR(C13=H14,C13=I14,C13=J14),0.1,IF(OR(C13=K14,C13=L14,M13=M14),0.15,0.1)))</f>
        <v>0.1</v>
      </c>
      <c r="D14" s="437" t="s">
        <v>1446</v>
      </c>
      <c r="F14" s="438"/>
      <c r="G14" s="441" t="s">
        <v>1441</v>
      </c>
      <c r="H14" s="433" t="s">
        <v>892</v>
      </c>
      <c r="I14" s="28" t="s">
        <v>899</v>
      </c>
      <c r="J14" s="28" t="s">
        <v>1447</v>
      </c>
      <c r="K14" s="28" t="s">
        <v>896</v>
      </c>
      <c r="L14" s="28" t="s">
        <v>902</v>
      </c>
      <c r="M14" s="28" t="s">
        <v>1448</v>
      </c>
      <c r="Y14" s="114"/>
      <c r="Z14" s="114"/>
      <c r="AA14" s="114"/>
      <c r="AB14" s="114"/>
    </row>
    <row r="15" customHeight="1" spans="1:28">
      <c r="A15" s="101"/>
      <c r="B15" s="9" t="s">
        <v>1449</v>
      </c>
      <c r="C15" s="32">
        <f>IF(C13=G14,0.1,IF(OR(C13=H14,C13=I14,C13=J14),0.2,IF(OR(C13=K14,C13=L14,M13=M14),0.25,0.1)))</f>
        <v>0.1</v>
      </c>
      <c r="D15" s="437"/>
      <c r="F15" s="442" t="s">
        <v>1450</v>
      </c>
      <c r="G15" s="311" t="s">
        <v>1451</v>
      </c>
      <c r="H15" s="28" t="s">
        <v>1452</v>
      </c>
      <c r="I15" s="28" t="s">
        <v>1452</v>
      </c>
      <c r="J15" s="28" t="s">
        <v>1452</v>
      </c>
      <c r="K15" s="28" t="s">
        <v>1452</v>
      </c>
      <c r="L15" s="28" t="s">
        <v>1452</v>
      </c>
      <c r="M15" s="28" t="s">
        <v>1452</v>
      </c>
      <c r="Y15" s="114"/>
      <c r="Z15" s="114"/>
      <c r="AA15" s="114"/>
      <c r="AB15" s="114"/>
    </row>
    <row r="16" customHeight="1" spans="1:26">
      <c r="A16" s="101"/>
      <c r="B16" s="9" t="s">
        <v>1453</v>
      </c>
      <c r="C16" s="97">
        <f>9.80665*C7*(C14+C15)*C12/1000</f>
        <v>0.1372931</v>
      </c>
      <c r="D16" s="437" t="s">
        <v>1454</v>
      </c>
      <c r="F16" s="253" t="s">
        <v>1455</v>
      </c>
      <c r="G16" s="28">
        <v>0.05</v>
      </c>
      <c r="H16" s="401">
        <v>0.08</v>
      </c>
      <c r="I16" s="401"/>
      <c r="J16" s="401"/>
      <c r="K16" s="401"/>
      <c r="L16" s="401"/>
      <c r="M16" s="401"/>
      <c r="Y16" s="114"/>
      <c r="Z16" s="114"/>
    </row>
    <row r="17" customHeight="1" spans="1:28">
      <c r="A17" s="101"/>
      <c r="B17" s="9" t="s">
        <v>1456</v>
      </c>
      <c r="C17" s="97">
        <f>0.6*C16</f>
        <v>0.08237586</v>
      </c>
      <c r="D17" s="437"/>
      <c r="F17" s="253" t="s">
        <v>1457</v>
      </c>
      <c r="G17" s="28">
        <v>0.1</v>
      </c>
      <c r="H17" s="401">
        <v>0.1</v>
      </c>
      <c r="I17" s="401"/>
      <c r="J17" s="401"/>
      <c r="K17" s="402">
        <v>0.15</v>
      </c>
      <c r="L17" s="402"/>
      <c r="M17" s="402"/>
      <c r="Y17" s="114"/>
      <c r="Z17" s="114"/>
      <c r="AA17" s="114"/>
      <c r="AB17" s="114"/>
    </row>
    <row r="18" customHeight="1" spans="1:28">
      <c r="A18" s="110"/>
      <c r="B18" s="92" t="s">
        <v>1458</v>
      </c>
      <c r="C18" s="443" t="s">
        <v>1459</v>
      </c>
      <c r="D18" s="437" t="s">
        <v>1110</v>
      </c>
      <c r="F18" s="253" t="s">
        <v>1460</v>
      </c>
      <c r="G18" s="28">
        <v>0.1</v>
      </c>
      <c r="H18" s="401">
        <v>0.2</v>
      </c>
      <c r="I18" s="401"/>
      <c r="J18" s="401"/>
      <c r="K18" s="401">
        <v>0.25</v>
      </c>
      <c r="L18" s="401"/>
      <c r="M18" s="401"/>
      <c r="Y18" s="114"/>
      <c r="Z18" s="114"/>
      <c r="AA18" s="114"/>
      <c r="AB18" s="114"/>
    </row>
    <row r="19" customHeight="1" spans="1:28">
      <c r="A19" s="100" t="s">
        <v>1461</v>
      </c>
      <c r="B19" s="9" t="s">
        <v>1462</v>
      </c>
      <c r="C19" s="91">
        <v>1.57</v>
      </c>
      <c r="D19" s="437" t="s">
        <v>1463</v>
      </c>
      <c r="Y19" s="114"/>
      <c r="Z19" s="114"/>
      <c r="AA19" s="114"/>
      <c r="AB19" s="114"/>
    </row>
    <row r="20" customHeight="1" spans="1:26">
      <c r="A20" s="322"/>
      <c r="B20" s="9" t="s">
        <v>1464</v>
      </c>
      <c r="C20" s="444">
        <f>MAX(C8,C9)*9.80665/1000</f>
        <v>0.612915625</v>
      </c>
      <c r="D20" s="445"/>
      <c r="F20" s="222" t="s">
        <v>1465</v>
      </c>
      <c r="Y20" s="114"/>
      <c r="Z20" s="114"/>
    </row>
    <row r="21" customHeight="1" spans="1:26">
      <c r="A21" s="201"/>
      <c r="B21" s="446" t="s">
        <v>1466</v>
      </c>
      <c r="C21" s="447" t="str">
        <f>IF(C20&lt;C19,"G＜[G]","G≥[G]")</f>
        <v>G＜[G]</v>
      </c>
      <c r="D21" s="208" t="str">
        <f>IF(C20&lt;C19,"校验合格","不合格，请重选链条型号")</f>
        <v>校验合格</v>
      </c>
      <c r="Y21" s="114"/>
      <c r="Z21" s="114"/>
    </row>
    <row r="22" customHeight="1" spans="1:26">
      <c r="A22" s="251" t="s">
        <v>1467</v>
      </c>
      <c r="B22" s="9" t="s">
        <v>1468</v>
      </c>
      <c r="C22" s="448">
        <v>1.4</v>
      </c>
      <c r="D22" s="437" t="s">
        <v>361</v>
      </c>
      <c r="R22" s="1"/>
      <c r="Y22" s="114"/>
      <c r="Z22" s="114"/>
    </row>
    <row r="23" customHeight="1" spans="1:29">
      <c r="A23" s="252"/>
      <c r="B23" s="9" t="s">
        <v>1469</v>
      </c>
      <c r="C23" s="444">
        <f>IF(C13=G14,0.05,0.08)</f>
        <v>0.05</v>
      </c>
      <c r="D23" s="437" t="s">
        <v>1219</v>
      </c>
      <c r="F23" s="1"/>
      <c r="G23" s="1"/>
      <c r="H23" s="1"/>
      <c r="I23" s="1"/>
      <c r="J23" s="1"/>
      <c r="K23" s="1"/>
      <c r="L23" s="1"/>
      <c r="M23" s="1"/>
      <c r="N23" s="1"/>
      <c r="O23" s="1"/>
      <c r="P23" s="1"/>
      <c r="Q23" s="1"/>
      <c r="R23" s="1"/>
      <c r="S23" s="1"/>
      <c r="T23" s="1"/>
      <c r="U23" s="1"/>
      <c r="V23" s="1"/>
      <c r="W23" s="1"/>
      <c r="X23" s="1"/>
      <c r="Y23" s="114"/>
      <c r="Z23" s="114"/>
      <c r="AA23" s="1"/>
      <c r="AB23" s="1"/>
      <c r="AC23" s="1"/>
    </row>
    <row r="24" customHeight="1" spans="1:29">
      <c r="A24" s="252"/>
      <c r="B24" s="9" t="s">
        <v>1470</v>
      </c>
      <c r="C24" s="449">
        <f>((C9+C22)*C23*(C5-C6)+C8*C14*C6+(C8+C22)*C15*C6+1.1*C22*C23*C5)*9.80665/1000</f>
        <v>0.138273765</v>
      </c>
      <c r="D24" s="437" t="s">
        <v>1471</v>
      </c>
      <c r="AC24" s="1"/>
    </row>
    <row r="25" customHeight="1" spans="1:29">
      <c r="A25" s="252"/>
      <c r="B25" s="9" t="s">
        <v>1472</v>
      </c>
      <c r="C25" s="449">
        <f>0.6*C24</f>
        <v>0.082964259</v>
      </c>
      <c r="D25" s="208"/>
      <c r="AC25" s="1"/>
    </row>
    <row r="26" customHeight="1" spans="1:29">
      <c r="A26" s="252"/>
      <c r="B26" s="450" t="s">
        <v>1473</v>
      </c>
      <c r="C26" s="451">
        <v>0.98</v>
      </c>
      <c r="D26" s="452" t="s">
        <v>521</v>
      </c>
      <c r="AC26" s="1"/>
    </row>
    <row r="27" customHeight="1" spans="1:29">
      <c r="A27" s="255"/>
      <c r="B27" s="446" t="s">
        <v>1466</v>
      </c>
      <c r="C27" s="447" t="str">
        <f>IF(C25&lt;C26,"F＜[F]","F≥[F]")</f>
        <v>F＜[F]</v>
      </c>
      <c r="D27" s="208" t="str">
        <f>IF(C25&lt;C26,"校验合格","不合格，请重选链条型号")</f>
        <v>校验合格</v>
      </c>
      <c r="AC27" s="1"/>
    </row>
    <row r="28" customHeight="1" spans="1:29">
      <c r="A28" s="100" t="s">
        <v>1474</v>
      </c>
      <c r="B28" s="9" t="s">
        <v>1475</v>
      </c>
      <c r="C28" s="453">
        <v>10</v>
      </c>
      <c r="D28" s="437" t="s">
        <v>408</v>
      </c>
      <c r="AC28" s="1"/>
    </row>
    <row r="29" customHeight="1" spans="1:29">
      <c r="A29" s="101"/>
      <c r="B29" s="9" t="s">
        <v>1476</v>
      </c>
      <c r="C29" s="454">
        <v>19.05</v>
      </c>
      <c r="D29" s="437" t="s">
        <v>361</v>
      </c>
      <c r="AC29" s="1"/>
    </row>
    <row r="30" customHeight="1" spans="1:29">
      <c r="A30" s="101"/>
      <c r="B30" s="9" t="s">
        <v>1477</v>
      </c>
      <c r="C30" s="449">
        <f>60*C4/(C28*C29)</f>
        <v>62.992125984252</v>
      </c>
      <c r="D30" s="455" t="s">
        <v>1478</v>
      </c>
      <c r="AC30" s="1"/>
    </row>
    <row r="31" customHeight="1" spans="1:29">
      <c r="A31" s="101"/>
      <c r="B31" s="9" t="s">
        <v>1310</v>
      </c>
      <c r="C31" s="449">
        <f>IF(C29=P51,C26*61.65/2,IF(C29=P52,C26*82.2/2,IF(C29=P53,C26*102.75/2,IF(C29=P54,C26*123.3/2,IF(C29=P55,C26*164.39/2,"请在C29选择节距")))))</f>
        <v>30.2085</v>
      </c>
      <c r="D31" s="456"/>
      <c r="AC31" s="1"/>
    </row>
    <row r="32" customHeight="1" spans="1:29">
      <c r="A32" s="110"/>
      <c r="B32" s="9" t="s">
        <v>1479</v>
      </c>
      <c r="C32" s="449">
        <f>C31*C30/9549</f>
        <v>0.199277163870068</v>
      </c>
      <c r="D32" s="457"/>
      <c r="AC32" s="1"/>
    </row>
    <row r="33" customHeight="1" spans="1:29">
      <c r="A33" s="271" t="s">
        <v>1480</v>
      </c>
      <c r="B33" s="447" t="str">
        <f>C18</f>
        <v>RF 2030 VR</v>
      </c>
      <c r="C33" s="458"/>
      <c r="D33" s="459"/>
      <c r="AC33" s="1"/>
    </row>
    <row r="34" customHeight="1" spans="29:29">
      <c r="AC34" s="1"/>
    </row>
    <row r="35" customHeight="1" spans="1:29">
      <c r="A35" s="460" t="s">
        <v>1481</v>
      </c>
      <c r="B35" s="461"/>
      <c r="C35" s="461"/>
      <c r="D35" s="462"/>
      <c r="AC35" s="1"/>
    </row>
    <row r="36" customHeight="1" spans="1:29">
      <c r="A36" s="463"/>
      <c r="B36" s="135"/>
      <c r="C36" s="135"/>
      <c r="D36" s="464"/>
      <c r="AC36" s="1"/>
    </row>
    <row r="37" customHeight="1" spans="1:29">
      <c r="A37" s="463"/>
      <c r="B37" s="135"/>
      <c r="C37" s="135"/>
      <c r="D37" s="464"/>
      <c r="AC37" s="1"/>
    </row>
    <row r="38" customHeight="1" spans="1:29">
      <c r="A38" s="463"/>
      <c r="B38" s="135"/>
      <c r="C38" s="135"/>
      <c r="D38" s="464"/>
      <c r="AC38" s="1"/>
    </row>
    <row r="39" customHeight="1" spans="1:29">
      <c r="A39" s="463"/>
      <c r="B39" s="135"/>
      <c r="C39" s="135"/>
      <c r="D39" s="464"/>
      <c r="AC39" s="1"/>
    </row>
    <row r="40" customHeight="1" spans="1:29">
      <c r="A40" s="463"/>
      <c r="B40" s="135"/>
      <c r="C40" s="135"/>
      <c r="D40" s="464"/>
      <c r="F40" s="222" t="s">
        <v>1482</v>
      </c>
      <c r="AC40" s="1"/>
    </row>
    <row r="41" customHeight="1" spans="1:29">
      <c r="A41" s="463"/>
      <c r="B41" s="135"/>
      <c r="C41" s="135"/>
      <c r="D41" s="464"/>
      <c r="AC41" s="1"/>
    </row>
    <row r="42" customHeight="1" spans="1:29">
      <c r="A42" s="463"/>
      <c r="B42" s="135"/>
      <c r="C42" s="135"/>
      <c r="D42" s="464"/>
      <c r="AC42" s="1"/>
    </row>
    <row r="43" customHeight="1" spans="1:29">
      <c r="A43" s="463"/>
      <c r="B43" s="135"/>
      <c r="C43" s="135"/>
      <c r="D43" s="464"/>
      <c r="AC43" s="1"/>
    </row>
    <row r="44" customHeight="1" spans="1:29">
      <c r="A44" s="463"/>
      <c r="B44" s="135"/>
      <c r="C44" s="135"/>
      <c r="D44" s="464"/>
      <c r="AC44" s="1"/>
    </row>
    <row r="45" customHeight="1" spans="1:29">
      <c r="A45" s="463"/>
      <c r="B45" s="135"/>
      <c r="C45" s="135"/>
      <c r="D45" s="464"/>
      <c r="AC45" s="1"/>
    </row>
    <row r="46" customHeight="1" spans="1:29">
      <c r="A46" s="460" t="s">
        <v>1483</v>
      </c>
      <c r="B46" s="461"/>
      <c r="C46" s="461"/>
      <c r="D46" s="462"/>
      <c r="AC46" s="1"/>
    </row>
    <row r="47" customHeight="1" spans="1:29">
      <c r="A47" s="463"/>
      <c r="B47" s="135"/>
      <c r="C47" s="135"/>
      <c r="D47" s="464"/>
      <c r="AC47" s="1"/>
    </row>
    <row r="48" customHeight="1" spans="1:29">
      <c r="A48" s="463"/>
      <c r="B48" s="135"/>
      <c r="C48" s="135"/>
      <c r="D48" s="464"/>
      <c r="AC48" s="1"/>
    </row>
    <row r="49" customHeight="1" spans="1:29">
      <c r="A49" s="465"/>
      <c r="B49" s="466"/>
      <c r="C49" s="466"/>
      <c r="D49" s="467"/>
      <c r="F49" s="82" t="s">
        <v>1484</v>
      </c>
      <c r="AC49" s="1"/>
    </row>
    <row r="50" customHeight="1" spans="1:28">
      <c r="A50" s="468"/>
      <c r="B50" s="468"/>
      <c r="C50" s="468"/>
      <c r="D50" s="468"/>
      <c r="P50" s="469" t="s">
        <v>1485</v>
      </c>
      <c r="AB50" s="1"/>
    </row>
    <row r="51" customHeight="1" spans="1:28">
      <c r="A51" s="300" t="s">
        <v>1486</v>
      </c>
      <c r="B51" s="468"/>
      <c r="C51" s="468"/>
      <c r="D51" s="468"/>
      <c r="P51" s="209">
        <v>19.05</v>
      </c>
      <c r="AB51" s="1"/>
    </row>
    <row r="52" customHeight="1" spans="1:28">
      <c r="A52" s="300"/>
      <c r="B52" s="468"/>
      <c r="C52" s="468"/>
      <c r="D52" s="468"/>
      <c r="P52" s="209">
        <v>25.4</v>
      </c>
      <c r="AB52" s="1"/>
    </row>
    <row r="53" customHeight="1" spans="1:28">
      <c r="A53" s="468"/>
      <c r="B53" s="468"/>
      <c r="C53" s="468"/>
      <c r="D53" s="468"/>
      <c r="P53" s="209">
        <v>31.75</v>
      </c>
      <c r="AB53" s="1"/>
    </row>
    <row r="54" customHeight="1" spans="1:28">
      <c r="A54" s="468"/>
      <c r="B54" s="468"/>
      <c r="C54" s="468"/>
      <c r="D54" s="468"/>
      <c r="P54" s="209">
        <v>38.1</v>
      </c>
      <c r="AB54" s="1"/>
    </row>
    <row r="55" customHeight="1" spans="1:28">
      <c r="A55" s="468"/>
      <c r="B55" s="468"/>
      <c r="C55" s="468"/>
      <c r="D55" s="468"/>
      <c r="P55" s="209">
        <v>50.8</v>
      </c>
      <c r="AB55" s="1"/>
    </row>
    <row r="56" customHeight="1" spans="1:28">
      <c r="A56" s="468"/>
      <c r="B56" s="468"/>
      <c r="C56" s="468"/>
      <c r="D56" s="468"/>
      <c r="AB56" s="1"/>
    </row>
    <row r="57" customHeight="1" spans="1:28">
      <c r="A57" s="468"/>
      <c r="B57" s="468"/>
      <c r="C57" s="468"/>
      <c r="D57" s="468"/>
      <c r="AB57" s="1"/>
    </row>
    <row r="58" customHeight="1" spans="29:29">
      <c r="AC58" s="1"/>
    </row>
    <row r="59" customHeight="1" spans="29:29">
      <c r="AC59" s="1"/>
    </row>
    <row r="60" customHeight="1" spans="6:29">
      <c r="F60" s="47" t="s">
        <v>1487</v>
      </c>
      <c r="G60" s="47"/>
      <c r="H60" s="47"/>
      <c r="I60" s="470"/>
      <c r="J60" s="470"/>
      <c r="K60" s="470"/>
      <c r="L60" s="470"/>
      <c r="AC60" s="1"/>
    </row>
    <row r="61" customHeight="1" spans="29:29">
      <c r="AC61" s="1"/>
    </row>
    <row r="62" customHeight="1" spans="29:29">
      <c r="AC62" s="1"/>
    </row>
    <row r="63" customHeight="1" spans="29:29">
      <c r="AC63" s="1"/>
    </row>
    <row r="64" customHeight="1" spans="29:29">
      <c r="AC64" s="1"/>
    </row>
    <row r="65" customHeight="1" spans="29:29">
      <c r="AC65" s="1"/>
    </row>
    <row r="66" customHeight="1" spans="29:29">
      <c r="AC66" s="1"/>
    </row>
    <row r="67" customHeight="1" spans="29:29">
      <c r="AC67" s="1"/>
    </row>
    <row r="68" customHeight="1" spans="29:29">
      <c r="AC68" s="1"/>
    </row>
    <row r="69" customHeight="1" spans="29:29">
      <c r="AC69" s="1"/>
    </row>
    <row r="70" customHeight="1" spans="29:29">
      <c r="AC70" s="1"/>
    </row>
    <row r="71" customHeight="1" spans="29:29">
      <c r="AC71" s="1"/>
    </row>
    <row r="72" customHeight="1" spans="29:29">
      <c r="AC72" s="1"/>
    </row>
    <row r="73" customHeight="1" spans="29:29">
      <c r="AC73" s="1"/>
    </row>
    <row r="74" customHeight="1" spans="29:29">
      <c r="AC74" s="1"/>
    </row>
    <row r="75" customHeight="1" spans="29:29">
      <c r="AC75" s="1"/>
    </row>
    <row r="76" customHeight="1" spans="29:29">
      <c r="AC76" s="1"/>
    </row>
    <row r="77" customHeight="1" spans="29:29">
      <c r="AC77" s="1"/>
    </row>
    <row r="78" customHeight="1" spans="29:29">
      <c r="AC78" s="1"/>
    </row>
    <row r="79" customHeight="1" spans="29:29">
      <c r="AC79" s="1"/>
    </row>
    <row r="80" customHeight="1" spans="29:29">
      <c r="AC80" s="1"/>
    </row>
    <row r="81" customHeight="1" spans="29:29">
      <c r="AC81" s="1"/>
    </row>
    <row r="82" customHeight="1" spans="29:29">
      <c r="AC82" s="1"/>
    </row>
    <row r="83" customHeight="1" spans="29:29">
      <c r="AC83" s="1"/>
    </row>
    <row r="84" customHeight="1" spans="29:29">
      <c r="AC84" s="1"/>
    </row>
    <row r="85" customHeight="1" spans="29:29">
      <c r="AC85" s="1"/>
    </row>
    <row r="86" customHeight="1" spans="29:29">
      <c r="AC86" s="1"/>
    </row>
    <row r="87" customHeight="1" spans="29:29">
      <c r="AC87" s="1"/>
    </row>
    <row r="88" customHeight="1" spans="29:29">
      <c r="AC88" s="1"/>
    </row>
    <row r="89" customHeight="1" spans="29:29">
      <c r="AC89" s="1"/>
    </row>
    <row r="90" customHeight="1" spans="29:29">
      <c r="AC90" s="1"/>
    </row>
    <row r="91" customHeight="1" spans="29:29">
      <c r="AC91" s="1"/>
    </row>
  </sheetData>
  <customSheetViews>
    <customSheetView guid="{27B96A40-A6B2-43F7-A93C-713F4207CB2A}">
      <selection activeCell="H16" sqref="H16:M16"/>
      <pageMargins left="0.7" right="0.7" top="0.75" bottom="0.75" header="0.3" footer="0.3"/>
      <headerFooter/>
    </customSheetView>
  </customSheetViews>
  <mergeCells count="17">
    <mergeCell ref="A1:D1"/>
    <mergeCell ref="H13:M13"/>
    <mergeCell ref="H16:M16"/>
    <mergeCell ref="H17:J17"/>
    <mergeCell ref="K17:M17"/>
    <mergeCell ref="H18:J18"/>
    <mergeCell ref="K18:M18"/>
    <mergeCell ref="B33:D33"/>
    <mergeCell ref="A4:A9"/>
    <mergeCell ref="A10:A18"/>
    <mergeCell ref="A19:A21"/>
    <mergeCell ref="A22:A27"/>
    <mergeCell ref="A28:A32"/>
    <mergeCell ref="D30:D32"/>
    <mergeCell ref="F13:F14"/>
    <mergeCell ref="A46:D49"/>
    <mergeCell ref="A35:D45"/>
  </mergeCells>
  <dataValidations count="2">
    <dataValidation type="list" allowBlank="1" showInputMessage="1" showErrorMessage="1" prompt="请选择" sqref="C29">
      <formula1>$P$51:$P$55</formula1>
    </dataValidation>
    <dataValidation type="list" allowBlank="1" showInputMessage="1" showErrorMessage="1" prompt="请选择" sqref="C13">
      <formula1>$G$14:$M$14</formula1>
    </dataValidation>
  </dataValidations>
  <pageMargins left="0.7" right="0.7" top="0.75" bottom="0.75" header="0.3" footer="0.3"/>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C107"/>
  <sheetViews>
    <sheetView workbookViewId="0">
      <selection activeCell="A1" sqref="A1:D1"/>
    </sheetView>
  </sheetViews>
  <sheetFormatPr defaultColWidth="15.625" defaultRowHeight="20.1" customHeight="1"/>
  <cols>
    <col min="1" max="1" width="15.625" style="82"/>
    <col min="2" max="2" width="25.875" style="82" customWidth="1"/>
    <col min="3" max="3" width="15.625" style="83"/>
    <col min="4" max="4" width="16.625" style="82" customWidth="1"/>
    <col min="5" max="5" width="7.875" style="82" customWidth="1"/>
    <col min="6" max="18" width="10.625" style="82" customWidth="1"/>
    <col min="19" max="25" width="8.625" style="82" customWidth="1"/>
    <col min="26" max="16384" width="15.625" style="82"/>
  </cols>
  <sheetData>
    <row r="1" ht="21.95" customHeight="1" spans="1:4">
      <c r="A1" s="358" t="s">
        <v>1488</v>
      </c>
      <c r="B1" s="125"/>
      <c r="C1" s="125"/>
      <c r="D1" s="125"/>
    </row>
    <row r="2" customHeight="1" spans="1:14">
      <c r="A2" s="106" t="s">
        <v>1489</v>
      </c>
      <c r="F2" s="106" t="s">
        <v>1490</v>
      </c>
      <c r="N2" s="82" t="s">
        <v>1491</v>
      </c>
    </row>
    <row r="3" customHeight="1" spans="1:28">
      <c r="A3" s="9" t="s">
        <v>269</v>
      </c>
      <c r="B3" s="9" t="s">
        <v>270</v>
      </c>
      <c r="C3" s="32" t="s">
        <v>271</v>
      </c>
      <c r="D3" s="9" t="s">
        <v>272</v>
      </c>
      <c r="H3" s="80"/>
      <c r="I3" s="80"/>
      <c r="K3" s="83"/>
      <c r="T3" s="115"/>
      <c r="U3" s="115"/>
      <c r="V3" s="115"/>
      <c r="W3" s="115"/>
      <c r="X3" s="115"/>
      <c r="Y3" s="115">
        <v>0</v>
      </c>
      <c r="Z3" s="115"/>
      <c r="AA3" s="115"/>
      <c r="AB3" s="115"/>
    </row>
    <row r="4" customHeight="1" spans="1:28">
      <c r="A4" s="200" t="s">
        <v>1083</v>
      </c>
      <c r="B4" s="9" t="s">
        <v>1492</v>
      </c>
      <c r="C4" s="91">
        <v>0</v>
      </c>
      <c r="D4" s="9" t="s">
        <v>1493</v>
      </c>
      <c r="T4" s="115"/>
      <c r="U4" s="115"/>
      <c r="V4" s="115"/>
      <c r="W4" s="115"/>
      <c r="X4" s="115"/>
      <c r="Y4" s="115">
        <v>2</v>
      </c>
      <c r="Z4" s="115"/>
      <c r="AA4" s="115"/>
      <c r="AB4" s="115"/>
    </row>
    <row r="5" customHeight="1" spans="1:29">
      <c r="A5" s="322"/>
      <c r="B5" s="9" t="s">
        <v>1494</v>
      </c>
      <c r="C5" s="91">
        <v>10</v>
      </c>
      <c r="D5" s="9"/>
      <c r="U5" s="1"/>
      <c r="V5" s="1"/>
      <c r="W5" s="1"/>
      <c r="X5" s="1"/>
      <c r="Y5" s="1">
        <v>2</v>
      </c>
      <c r="Z5" s="1"/>
      <c r="AA5" s="1"/>
      <c r="AB5" s="1"/>
      <c r="AC5" s="1"/>
    </row>
    <row r="6" customHeight="1" spans="1:29">
      <c r="A6" s="322"/>
      <c r="B6" s="9" t="s">
        <v>1495</v>
      </c>
      <c r="C6" s="91">
        <v>0.5</v>
      </c>
      <c r="D6" s="92" t="s">
        <v>1496</v>
      </c>
      <c r="U6" s="114"/>
      <c r="V6" s="114"/>
      <c r="W6" s="114"/>
      <c r="X6" s="114"/>
      <c r="Y6" s="1">
        <v>2</v>
      </c>
      <c r="Z6" s="114"/>
      <c r="AA6" s="114"/>
      <c r="AB6" s="114"/>
      <c r="AC6" s="114"/>
    </row>
    <row r="7" customHeight="1" spans="1:25">
      <c r="A7" s="322"/>
      <c r="B7" s="9" t="s">
        <v>1497</v>
      </c>
      <c r="C7" s="91">
        <v>0.02</v>
      </c>
      <c r="D7" s="92" t="s">
        <v>1498</v>
      </c>
      <c r="U7" s="114"/>
      <c r="V7" s="114"/>
      <c r="W7" s="114"/>
      <c r="X7" s="114"/>
      <c r="Y7" s="222">
        <v>0</v>
      </c>
    </row>
    <row r="8" customHeight="1" spans="1:27">
      <c r="A8" s="322"/>
      <c r="B8" s="9" t="s">
        <v>1499</v>
      </c>
      <c r="C8" s="91">
        <v>0.5</v>
      </c>
      <c r="D8" s="9" t="s">
        <v>901</v>
      </c>
      <c r="F8" s="82" t="s">
        <v>1500</v>
      </c>
      <c r="S8" s="114"/>
      <c r="T8" s="114"/>
      <c r="U8" s="114"/>
      <c r="V8" s="114"/>
      <c r="W8" s="114"/>
      <c r="X8" s="114"/>
      <c r="Y8" s="1"/>
      <c r="Z8" s="114"/>
      <c r="AA8" s="114"/>
    </row>
    <row r="9" customHeight="1" spans="1:28">
      <c r="A9" s="322"/>
      <c r="B9" s="9" t="s">
        <v>1501</v>
      </c>
      <c r="C9" s="91">
        <v>1</v>
      </c>
      <c r="D9" s="9" t="s">
        <v>1502</v>
      </c>
      <c r="F9" s="169" t="s">
        <v>1503</v>
      </c>
      <c r="G9" s="432" t="s">
        <v>1504</v>
      </c>
      <c r="H9" s="73" t="s">
        <v>1505</v>
      </c>
      <c r="I9" s="28" t="s">
        <v>1506</v>
      </c>
      <c r="J9" s="253" t="s">
        <v>1507</v>
      </c>
      <c r="N9" s="106" t="s">
        <v>1508</v>
      </c>
      <c r="T9" s="114"/>
      <c r="U9" s="114"/>
      <c r="V9" s="114"/>
      <c r="W9" s="114"/>
      <c r="X9" s="114"/>
      <c r="Y9" s="1"/>
      <c r="Z9" s="114"/>
      <c r="AA9" s="114"/>
      <c r="AB9" s="114"/>
    </row>
    <row r="10" customHeight="1" spans="1:25">
      <c r="A10" s="322"/>
      <c r="B10" s="9" t="s">
        <v>1509</v>
      </c>
      <c r="C10" s="91">
        <v>0.1</v>
      </c>
      <c r="D10" s="9" t="s">
        <v>1510</v>
      </c>
      <c r="F10" s="9" t="s">
        <v>1511</v>
      </c>
      <c r="G10" s="7" t="s">
        <v>1512</v>
      </c>
      <c r="H10" s="433" t="s">
        <v>1513</v>
      </c>
      <c r="I10" s="28" t="s">
        <v>1514</v>
      </c>
      <c r="J10" s="28" t="s">
        <v>1515</v>
      </c>
      <c r="Q10" s="114"/>
      <c r="R10" s="114"/>
      <c r="S10" s="114"/>
      <c r="T10" s="114"/>
      <c r="U10" s="114"/>
      <c r="V10" s="114"/>
      <c r="W10" s="114"/>
      <c r="X10" s="114"/>
      <c r="Y10" s="114"/>
    </row>
    <row r="11" customHeight="1" spans="1:25">
      <c r="A11" s="322"/>
      <c r="B11" s="9" t="s">
        <v>1516</v>
      </c>
      <c r="C11" s="91">
        <v>0.1</v>
      </c>
      <c r="D11" s="9" t="s">
        <v>1517</v>
      </c>
      <c r="F11" s="1"/>
      <c r="G11" s="1"/>
      <c r="H11" s="1"/>
      <c r="V11" s="114"/>
      <c r="W11" s="114"/>
      <c r="X11" s="114"/>
      <c r="Y11" s="114"/>
    </row>
    <row r="12" customHeight="1" spans="1:25">
      <c r="A12" s="201"/>
      <c r="B12" s="92" t="s">
        <v>1518</v>
      </c>
      <c r="C12" s="91">
        <v>90</v>
      </c>
      <c r="D12" s="9"/>
      <c r="F12" s="222" t="s">
        <v>1519</v>
      </c>
      <c r="G12" s="1"/>
      <c r="H12" s="1"/>
      <c r="V12" s="114"/>
      <c r="W12" s="114"/>
      <c r="X12" s="114"/>
      <c r="Y12" s="114"/>
    </row>
    <row r="13" customHeight="1" spans="1:25">
      <c r="A13" s="100" t="s">
        <v>1520</v>
      </c>
      <c r="B13" s="9" t="s">
        <v>1521</v>
      </c>
      <c r="C13" s="119">
        <f>2*C12/1000/(2*C9-C10-C11)</f>
        <v>0.1</v>
      </c>
      <c r="D13" s="9" t="str">
        <f>ROUND(C13*1000,2)&amp;" mm/s"</f>
        <v>100 mm/s</v>
      </c>
      <c r="F13" s="1"/>
      <c r="G13" s="1"/>
      <c r="H13" s="1"/>
      <c r="V13" s="114"/>
      <c r="W13" s="114"/>
      <c r="X13" s="114"/>
      <c r="Y13" s="114"/>
    </row>
    <row r="14" customHeight="1" spans="1:25">
      <c r="A14" s="101"/>
      <c r="B14" s="9" t="s">
        <v>1522</v>
      </c>
      <c r="C14" s="119">
        <f>C13/C10</f>
        <v>1</v>
      </c>
      <c r="D14" s="9"/>
      <c r="F14" s="1"/>
      <c r="G14" s="1"/>
      <c r="H14" s="1"/>
      <c r="V14" s="114"/>
      <c r="W14" s="114"/>
      <c r="X14" s="114"/>
      <c r="Y14" s="114"/>
    </row>
    <row r="15" customHeight="1" spans="1:24">
      <c r="A15" s="101"/>
      <c r="B15" s="9" t="s">
        <v>1523</v>
      </c>
      <c r="C15" s="97">
        <f>9.8*C5*(SIN(RADIANS(C4))+COS(RADIANS(C4))*C7)+C5*C14</f>
        <v>11.96</v>
      </c>
      <c r="D15" s="9" t="s">
        <v>1524</v>
      </c>
      <c r="F15" s="1"/>
      <c r="G15" s="1"/>
      <c r="H15" s="1"/>
      <c r="V15" s="114"/>
      <c r="W15" s="114"/>
      <c r="X15" s="114"/>
    </row>
    <row r="16" customHeight="1" spans="1:25">
      <c r="A16" s="101"/>
      <c r="B16" s="9" t="s">
        <v>1525</v>
      </c>
      <c r="C16" s="104">
        <f>C15/C8</f>
        <v>23.92</v>
      </c>
      <c r="D16" s="9" t="s">
        <v>1526</v>
      </c>
      <c r="F16" s="1"/>
      <c r="G16" s="1"/>
      <c r="H16" s="1"/>
      <c r="V16" s="114"/>
      <c r="W16" s="114"/>
      <c r="Y16" s="114"/>
    </row>
    <row r="17" customHeight="1" spans="1:25">
      <c r="A17" s="101"/>
      <c r="B17" s="9" t="s">
        <v>1527</v>
      </c>
      <c r="C17" s="104">
        <f>SQRT(4*C16/PI()/C6)</f>
        <v>7.80459991416153</v>
      </c>
      <c r="D17" s="9" t="s">
        <v>1528</v>
      </c>
      <c r="F17" s="1"/>
      <c r="G17" s="1"/>
      <c r="H17" s="1"/>
      <c r="V17" s="114"/>
      <c r="W17" s="114"/>
      <c r="X17" s="114"/>
      <c r="Y17" s="114"/>
    </row>
    <row r="18" customHeight="1" spans="1:25">
      <c r="A18" s="101"/>
      <c r="B18" s="9" t="s">
        <v>1529</v>
      </c>
      <c r="C18" s="128">
        <v>4</v>
      </c>
      <c r="D18" s="9"/>
      <c r="F18" s="1"/>
      <c r="G18" s="1"/>
      <c r="H18" s="1"/>
      <c r="V18" s="114"/>
      <c r="W18" s="114"/>
      <c r="X18" s="114"/>
      <c r="Y18" s="114"/>
    </row>
    <row r="19" customHeight="1" spans="1:24">
      <c r="A19" s="110"/>
      <c r="B19" s="9" t="s">
        <v>1530</v>
      </c>
      <c r="C19" s="104">
        <f>SQRT(4*C16/PI()/C6+C18^2)</f>
        <v>8.76993613546474</v>
      </c>
      <c r="D19" s="9"/>
      <c r="F19" s="1"/>
      <c r="G19" s="1"/>
      <c r="H19" s="1"/>
      <c r="V19" s="114"/>
      <c r="W19" s="114"/>
      <c r="X19" s="114"/>
    </row>
    <row r="20" customHeight="1" spans="1:23">
      <c r="A20" s="4" t="s">
        <v>1531</v>
      </c>
      <c r="B20" s="9" t="s">
        <v>1518</v>
      </c>
      <c r="C20" s="32">
        <f>C12</f>
        <v>90</v>
      </c>
      <c r="D20" s="9"/>
      <c r="F20" s="1"/>
      <c r="G20" s="1"/>
      <c r="H20" s="1"/>
      <c r="V20" s="114"/>
      <c r="W20" s="114"/>
    </row>
    <row r="21" customHeight="1" spans="1:23">
      <c r="A21" s="4"/>
      <c r="B21" s="92" t="s">
        <v>1532</v>
      </c>
      <c r="C21" s="91">
        <v>100</v>
      </c>
      <c r="D21" s="117" t="s">
        <v>1533</v>
      </c>
      <c r="F21" s="1"/>
      <c r="G21" s="1"/>
      <c r="H21" s="1"/>
      <c r="V21" s="114"/>
      <c r="W21" s="114"/>
    </row>
    <row r="22" customHeight="1" spans="1:25">
      <c r="A22" s="4"/>
      <c r="B22" s="92" t="s">
        <v>1534</v>
      </c>
      <c r="C22" s="186" t="s">
        <v>1535</v>
      </c>
      <c r="D22" s="117" t="s">
        <v>1536</v>
      </c>
      <c r="F22" s="1"/>
      <c r="G22" s="1"/>
      <c r="H22" s="1"/>
      <c r="O22" s="1"/>
      <c r="V22" s="114"/>
      <c r="W22" s="114"/>
      <c r="Y22" s="1"/>
    </row>
    <row r="23" customHeight="1" spans="1:26">
      <c r="A23" s="4" t="s">
        <v>1537</v>
      </c>
      <c r="B23" s="92" t="s">
        <v>1538</v>
      </c>
      <c r="C23" s="332" t="s">
        <v>1539</v>
      </c>
      <c r="D23" s="9" t="s">
        <v>356</v>
      </c>
      <c r="F23" s="1"/>
      <c r="G23" s="1"/>
      <c r="H23" s="1"/>
      <c r="O23" s="1"/>
      <c r="P23" s="1"/>
      <c r="Q23" s="1"/>
      <c r="R23" s="1"/>
      <c r="S23" s="1"/>
      <c r="T23" s="1"/>
      <c r="U23" s="1"/>
      <c r="V23" s="114"/>
      <c r="W23" s="114"/>
      <c r="X23" s="1"/>
      <c r="Z23" s="1"/>
    </row>
    <row r="24" customHeight="1" spans="1:26">
      <c r="A24" s="4"/>
      <c r="B24" s="92" t="s">
        <v>1540</v>
      </c>
      <c r="C24" s="332" t="s">
        <v>1541</v>
      </c>
      <c r="D24" s="9" t="s">
        <v>361</v>
      </c>
      <c r="F24" s="1"/>
      <c r="G24" s="1"/>
      <c r="H24" s="1"/>
      <c r="Z24" s="1"/>
    </row>
    <row r="25" customHeight="1" spans="1:26">
      <c r="A25" s="4"/>
      <c r="B25" s="92" t="s">
        <v>1542</v>
      </c>
      <c r="C25" s="332" t="s">
        <v>1451</v>
      </c>
      <c r="D25" s="9" t="s">
        <v>408</v>
      </c>
      <c r="F25" s="1"/>
      <c r="G25" s="1"/>
      <c r="H25" s="1"/>
      <c r="Z25" s="1"/>
    </row>
    <row r="26" customHeight="1" spans="1:26">
      <c r="A26" s="4"/>
      <c r="B26" s="92" t="s">
        <v>1543</v>
      </c>
      <c r="C26" s="332" t="s">
        <v>1544</v>
      </c>
      <c r="D26" s="9" t="s">
        <v>419</v>
      </c>
      <c r="F26" s="1"/>
      <c r="G26" s="1"/>
      <c r="H26" s="1"/>
      <c r="Z26" s="1"/>
    </row>
    <row r="27" customHeight="1" spans="6:26">
      <c r="F27" s="1"/>
      <c r="G27" s="1"/>
      <c r="H27" s="1"/>
      <c r="Z27" s="1"/>
    </row>
    <row r="28" customHeight="1" spans="1:26">
      <c r="A28" s="324" t="s">
        <v>1545</v>
      </c>
      <c r="B28" s="324"/>
      <c r="C28" s="324"/>
      <c r="D28" s="324"/>
      <c r="F28" s="1"/>
      <c r="G28" s="1"/>
      <c r="H28" s="1"/>
      <c r="Z28" s="1"/>
    </row>
    <row r="29" customHeight="1" spans="1:26">
      <c r="A29" s="324"/>
      <c r="B29" s="324"/>
      <c r="C29" s="324"/>
      <c r="D29" s="324"/>
      <c r="F29" s="1"/>
      <c r="G29" s="1"/>
      <c r="H29" s="1"/>
      <c r="Z29" s="1"/>
    </row>
    <row r="30" customHeight="1" spans="1:26">
      <c r="A30" s="324"/>
      <c r="B30" s="324"/>
      <c r="C30" s="324"/>
      <c r="D30" s="324"/>
      <c r="F30" s="1"/>
      <c r="G30" s="1"/>
      <c r="H30" s="1"/>
      <c r="N30" s="106" t="s">
        <v>1546</v>
      </c>
      <c r="Z30" s="1"/>
    </row>
    <row r="31" customHeight="1" spans="1:26">
      <c r="A31" s="324"/>
      <c r="B31" s="324"/>
      <c r="C31" s="324"/>
      <c r="D31" s="324"/>
      <c r="F31" s="1" t="s">
        <v>1547</v>
      </c>
      <c r="G31" s="1"/>
      <c r="H31" s="1"/>
      <c r="Z31" s="1"/>
    </row>
    <row r="32" customHeight="1" spans="1:27">
      <c r="A32" s="324"/>
      <c r="B32" s="324"/>
      <c r="C32" s="324"/>
      <c r="D32" s="324"/>
      <c r="F32" s="1"/>
      <c r="G32" s="1"/>
      <c r="H32" s="1"/>
      <c r="AA32" s="1"/>
    </row>
    <row r="33" customHeight="1" spans="1:27">
      <c r="A33" s="324"/>
      <c r="B33" s="324"/>
      <c r="C33" s="324"/>
      <c r="D33" s="324"/>
      <c r="G33" s="1"/>
      <c r="H33" s="1"/>
      <c r="AA33" s="1"/>
    </row>
    <row r="34" customHeight="1" spans="1:27">
      <c r="A34" s="324"/>
      <c r="B34" s="324"/>
      <c r="C34" s="324"/>
      <c r="D34" s="324"/>
      <c r="F34" s="1"/>
      <c r="G34" s="1"/>
      <c r="H34" s="1"/>
      <c r="AA34" s="1"/>
    </row>
    <row r="35" customHeight="1" spans="1:27">
      <c r="A35" s="324"/>
      <c r="B35" s="324"/>
      <c r="C35" s="324"/>
      <c r="D35" s="324"/>
      <c r="F35" s="1"/>
      <c r="G35" s="1"/>
      <c r="H35" s="1"/>
      <c r="AA35" s="1"/>
    </row>
    <row r="36" customHeight="1" spans="1:27">
      <c r="A36" s="324"/>
      <c r="B36" s="324"/>
      <c r="C36" s="324"/>
      <c r="D36" s="324"/>
      <c r="F36" s="1"/>
      <c r="G36" s="1"/>
      <c r="H36" s="1"/>
      <c r="AA36" s="1"/>
    </row>
    <row r="37" customHeight="1" spans="1:27">
      <c r="A37" s="324"/>
      <c r="B37" s="324"/>
      <c r="C37" s="324"/>
      <c r="D37" s="324"/>
      <c r="F37" s="1"/>
      <c r="G37" s="1"/>
      <c r="H37" s="1"/>
      <c r="AA37" s="1"/>
    </row>
    <row r="38" customHeight="1" spans="1:27">
      <c r="A38" s="434"/>
      <c r="B38" s="292"/>
      <c r="C38" s="292"/>
      <c r="D38" s="435"/>
      <c r="F38" s="1"/>
      <c r="G38" s="1"/>
      <c r="H38" s="1"/>
      <c r="AA38" s="1"/>
    </row>
    <row r="39" customHeight="1" spans="6:27">
      <c r="F39" s="1"/>
      <c r="G39" s="1"/>
      <c r="H39" s="1"/>
      <c r="AA39" s="1"/>
    </row>
    <row r="40" customHeight="1" spans="6:27">
      <c r="F40" s="1"/>
      <c r="G40" s="1"/>
      <c r="H40" s="1"/>
      <c r="AA40" s="1"/>
    </row>
    <row r="41" customHeight="1" spans="6:27">
      <c r="F41" s="1"/>
      <c r="G41" s="1"/>
      <c r="H41" s="1"/>
      <c r="AA41" s="1"/>
    </row>
    <row r="42" customHeight="1" spans="6:27">
      <c r="F42" s="1"/>
      <c r="G42" s="1"/>
      <c r="H42" s="1"/>
      <c r="AA42" s="1"/>
    </row>
    <row r="43" customHeight="1" spans="1:27">
      <c r="A43" s="132" t="s">
        <v>1548</v>
      </c>
      <c r="B43" s="132"/>
      <c r="C43" s="132"/>
      <c r="D43" s="132"/>
      <c r="F43" s="1"/>
      <c r="G43" s="1"/>
      <c r="H43" s="1"/>
      <c r="N43" s="82" t="s">
        <v>1549</v>
      </c>
      <c r="AA43" s="1"/>
    </row>
    <row r="44" customHeight="1" spans="1:27">
      <c r="A44" s="135"/>
      <c r="B44" s="135"/>
      <c r="C44" s="135"/>
      <c r="D44" s="135"/>
      <c r="F44" s="222"/>
      <c r="G44" s="1"/>
      <c r="H44" s="300"/>
      <c r="I44" s="300"/>
      <c r="J44" s="300"/>
      <c r="K44" s="303"/>
      <c r="L44" s="303"/>
      <c r="M44" s="303"/>
      <c r="N44" s="106"/>
      <c r="AA44" s="1"/>
    </row>
    <row r="45" customHeight="1" spans="1:27">
      <c r="A45" s="135"/>
      <c r="B45" s="135"/>
      <c r="C45" s="135"/>
      <c r="D45" s="135"/>
      <c r="F45" s="222"/>
      <c r="G45" s="1"/>
      <c r="H45" s="300"/>
      <c r="I45" s="300"/>
      <c r="J45" s="300"/>
      <c r="K45" s="303"/>
      <c r="L45" s="303"/>
      <c r="M45" s="303"/>
      <c r="AA45" s="1"/>
    </row>
    <row r="46" customHeight="1" spans="1:27">
      <c r="A46" s="135"/>
      <c r="B46" s="135"/>
      <c r="C46" s="135"/>
      <c r="D46" s="135"/>
      <c r="F46" s="222" t="s">
        <v>1550</v>
      </c>
      <c r="G46" s="1"/>
      <c r="H46" s="300"/>
      <c r="I46" s="300"/>
      <c r="J46" s="300"/>
      <c r="K46" s="300"/>
      <c r="L46" s="300"/>
      <c r="M46" s="300"/>
      <c r="AA46" s="1"/>
    </row>
    <row r="47" customHeight="1" spans="1:27">
      <c r="A47" s="135"/>
      <c r="B47" s="135"/>
      <c r="C47" s="135"/>
      <c r="D47" s="135"/>
      <c r="F47" s="222"/>
      <c r="G47" s="1"/>
      <c r="H47" s="300"/>
      <c r="I47" s="300"/>
      <c r="J47" s="300"/>
      <c r="K47" s="1"/>
      <c r="L47" s="1"/>
      <c r="M47" s="1"/>
      <c r="AA47" s="1"/>
    </row>
    <row r="48" customHeight="1" spans="1:27">
      <c r="A48" s="135"/>
      <c r="B48" s="135"/>
      <c r="C48" s="135"/>
      <c r="D48" s="135"/>
      <c r="F48" s="1"/>
      <c r="G48" s="1"/>
      <c r="H48" s="1"/>
      <c r="I48" s="1"/>
      <c r="J48" s="1"/>
      <c r="K48" s="1"/>
      <c r="L48" s="1"/>
      <c r="M48" s="1"/>
      <c r="AA48" s="1"/>
    </row>
    <row r="49" customHeight="1" spans="1:27">
      <c r="A49" s="135"/>
      <c r="B49" s="135"/>
      <c r="C49" s="135"/>
      <c r="D49" s="135"/>
      <c r="F49" s="222"/>
      <c r="G49" s="1"/>
      <c r="H49" s="1"/>
      <c r="I49" s="1"/>
      <c r="J49" s="1"/>
      <c r="K49" s="1"/>
      <c r="L49" s="1"/>
      <c r="M49" s="1"/>
      <c r="AA49" s="1"/>
    </row>
    <row r="50" customHeight="1" spans="1:26">
      <c r="A50" s="135"/>
      <c r="B50" s="135"/>
      <c r="C50" s="135"/>
      <c r="D50" s="135"/>
      <c r="F50" s="1"/>
      <c r="G50" s="1"/>
      <c r="H50" s="1"/>
      <c r="I50" s="1"/>
      <c r="J50" s="1"/>
      <c r="K50" s="1"/>
      <c r="L50" s="1"/>
      <c r="M50" s="1"/>
      <c r="Z50" s="1"/>
    </row>
    <row r="51" customHeight="1" spans="6:26">
      <c r="F51" s="1"/>
      <c r="G51" s="1"/>
      <c r="H51" s="1"/>
      <c r="I51" s="1"/>
      <c r="J51" s="1"/>
      <c r="K51" s="1"/>
      <c r="L51" s="1"/>
      <c r="M51" s="1"/>
      <c r="Z51" s="1"/>
    </row>
    <row r="52" customHeight="1" spans="6:26">
      <c r="F52" s="1"/>
      <c r="G52" s="1"/>
      <c r="H52" s="1"/>
      <c r="I52" s="1"/>
      <c r="J52" s="1"/>
      <c r="K52" s="1"/>
      <c r="L52" s="1"/>
      <c r="M52" s="1"/>
      <c r="Z52" s="1"/>
    </row>
    <row r="53" customHeight="1" spans="6:26">
      <c r="F53" s="1"/>
      <c r="G53" s="1"/>
      <c r="H53" s="1"/>
      <c r="I53" s="1"/>
      <c r="J53" s="1"/>
      <c r="K53" s="1"/>
      <c r="L53" s="1"/>
      <c r="M53" s="1"/>
      <c r="Z53" s="1"/>
    </row>
    <row r="54" customHeight="1" spans="6:26">
      <c r="F54" s="1"/>
      <c r="G54" s="1"/>
      <c r="H54" s="1"/>
      <c r="I54" s="1"/>
      <c r="J54" s="1"/>
      <c r="K54" s="1"/>
      <c r="L54" s="1"/>
      <c r="M54" s="1"/>
      <c r="Z54" s="1"/>
    </row>
    <row r="55" customHeight="1" spans="6:26">
      <c r="F55" s="1"/>
      <c r="G55" s="1"/>
      <c r="H55" s="1"/>
      <c r="I55" s="1"/>
      <c r="J55" s="1"/>
      <c r="K55" s="1"/>
      <c r="L55" s="1"/>
      <c r="M55" s="1"/>
      <c r="Z55" s="1"/>
    </row>
    <row r="56" customHeight="1" spans="6:26">
      <c r="F56" s="1"/>
      <c r="G56" s="1"/>
      <c r="H56" s="1"/>
      <c r="I56" s="1"/>
      <c r="J56" s="1"/>
      <c r="K56" s="1"/>
      <c r="L56" s="1"/>
      <c r="M56" s="1"/>
      <c r="N56" s="1"/>
      <c r="O56" s="1"/>
      <c r="Z56" s="1"/>
    </row>
    <row r="57" customHeight="1" spans="6:26">
      <c r="F57" s="1"/>
      <c r="G57" s="1"/>
      <c r="H57" s="1"/>
      <c r="I57" s="1"/>
      <c r="J57" s="1"/>
      <c r="K57" s="1"/>
      <c r="L57" s="1"/>
      <c r="M57" s="1"/>
      <c r="Z57" s="1"/>
    </row>
    <row r="58" customHeight="1" spans="6:27">
      <c r="F58" s="1"/>
      <c r="G58" s="1"/>
      <c r="H58" s="1"/>
      <c r="I58" s="1"/>
      <c r="J58" s="1"/>
      <c r="K58" s="1"/>
      <c r="L58" s="1"/>
      <c r="M58" s="1"/>
      <c r="AA58" s="1"/>
    </row>
    <row r="59" customHeight="1" spans="6:27">
      <c r="F59" s="1"/>
      <c r="G59" s="1"/>
      <c r="H59" s="1"/>
      <c r="I59" s="1"/>
      <c r="J59" s="1"/>
      <c r="K59" s="1"/>
      <c r="L59" s="1"/>
      <c r="M59" s="1"/>
      <c r="AA59" s="1"/>
    </row>
    <row r="60" customHeight="1" spans="6:27">
      <c r="F60" s="1"/>
      <c r="G60" s="1"/>
      <c r="H60" s="1"/>
      <c r="I60" s="1"/>
      <c r="J60" s="1"/>
      <c r="K60" s="1"/>
      <c r="L60" s="1"/>
      <c r="M60" s="1"/>
      <c r="AA60" s="1"/>
    </row>
    <row r="61" customHeight="1" spans="6:27">
      <c r="F61" s="1"/>
      <c r="G61" s="1"/>
      <c r="H61" s="1"/>
      <c r="I61" s="1"/>
      <c r="J61" s="1"/>
      <c r="K61" s="1"/>
      <c r="L61" s="1"/>
      <c r="M61" s="1"/>
      <c r="N61" s="82" t="s">
        <v>1551</v>
      </c>
      <c r="AA61" s="1"/>
    </row>
    <row r="62" customHeight="1" spans="6:27">
      <c r="F62" s="1"/>
      <c r="G62" s="1"/>
      <c r="H62" s="1"/>
      <c r="I62" s="1"/>
      <c r="J62" s="1"/>
      <c r="K62" s="1"/>
      <c r="L62" s="1"/>
      <c r="M62" s="1"/>
      <c r="AA62" s="1"/>
    </row>
    <row r="63" customHeight="1" spans="6:27">
      <c r="F63" s="1"/>
      <c r="G63" s="1"/>
      <c r="H63" s="1"/>
      <c r="I63" s="1"/>
      <c r="J63" s="1"/>
      <c r="K63" s="1"/>
      <c r="L63" s="1"/>
      <c r="M63" s="1"/>
      <c r="AA63" s="1"/>
    </row>
    <row r="64" customHeight="1" spans="6:27">
      <c r="F64" s="1"/>
      <c r="G64" s="1"/>
      <c r="H64" s="1"/>
      <c r="I64" s="1"/>
      <c r="J64" s="1"/>
      <c r="K64" s="1"/>
      <c r="L64" s="1"/>
      <c r="M64" s="1"/>
      <c r="AA64" s="1"/>
    </row>
    <row r="65" customHeight="1" spans="6:27">
      <c r="F65" s="1"/>
      <c r="G65" s="1"/>
      <c r="H65" s="1"/>
      <c r="I65" s="1"/>
      <c r="J65" s="1"/>
      <c r="K65" s="1"/>
      <c r="L65" s="1"/>
      <c r="M65" s="1"/>
      <c r="AA65" s="1"/>
    </row>
    <row r="66" customHeight="1" spans="6:27">
      <c r="F66" s="1"/>
      <c r="G66" s="1"/>
      <c r="H66" s="1"/>
      <c r="I66" s="1"/>
      <c r="J66" s="1"/>
      <c r="K66" s="1"/>
      <c r="L66" s="1"/>
      <c r="M66" s="1"/>
      <c r="AA66" s="1"/>
    </row>
    <row r="67" customHeight="1" spans="6:27">
      <c r="F67" s="1" t="s">
        <v>1552</v>
      </c>
      <c r="G67" s="1"/>
      <c r="H67" s="1"/>
      <c r="I67" s="1"/>
      <c r="J67" s="1"/>
      <c r="K67" s="1"/>
      <c r="L67" s="1"/>
      <c r="M67" s="1"/>
      <c r="AA67" s="1"/>
    </row>
    <row r="68" customHeight="1" spans="6:27">
      <c r="F68" s="1"/>
      <c r="G68" s="1"/>
      <c r="H68" s="1"/>
      <c r="I68" s="1"/>
      <c r="J68" s="1"/>
      <c r="K68" s="1"/>
      <c r="L68" s="1"/>
      <c r="M68" s="1"/>
      <c r="AA68" s="1"/>
    </row>
    <row r="69" customHeight="1" spans="6:27">
      <c r="F69" s="1"/>
      <c r="G69" s="1"/>
      <c r="H69" s="1"/>
      <c r="I69" s="1"/>
      <c r="J69" s="1"/>
      <c r="K69" s="1"/>
      <c r="L69" s="1"/>
      <c r="M69" s="1"/>
      <c r="AA69" s="1"/>
    </row>
    <row r="70" customHeight="1" spans="6:27">
      <c r="F70" s="1"/>
      <c r="G70" s="1"/>
      <c r="H70" s="1"/>
      <c r="I70" s="1"/>
      <c r="J70" s="1"/>
      <c r="K70" s="1"/>
      <c r="L70" s="1"/>
      <c r="M70" s="1"/>
      <c r="AA70" s="1"/>
    </row>
    <row r="71" customHeight="1" spans="6:27">
      <c r="F71" s="1"/>
      <c r="G71" s="1"/>
      <c r="H71" s="1"/>
      <c r="I71" s="1"/>
      <c r="J71" s="1"/>
      <c r="K71" s="1"/>
      <c r="L71" s="1"/>
      <c r="M71" s="1"/>
      <c r="AA71" s="1"/>
    </row>
    <row r="72" customHeight="1" spans="6:27">
      <c r="F72" s="1"/>
      <c r="G72" s="1"/>
      <c r="H72" s="1"/>
      <c r="I72" s="1"/>
      <c r="J72" s="1"/>
      <c r="K72" s="1"/>
      <c r="L72" s="1"/>
      <c r="M72" s="1"/>
      <c r="AA72" s="1"/>
    </row>
    <row r="73" customHeight="1" spans="6:27">
      <c r="F73" s="1"/>
      <c r="G73" s="1"/>
      <c r="H73" s="1"/>
      <c r="I73" s="1"/>
      <c r="J73" s="1"/>
      <c r="K73" s="1"/>
      <c r="L73" s="1"/>
      <c r="M73" s="1"/>
      <c r="AA73" s="1"/>
    </row>
    <row r="74" customHeight="1" spans="6:27">
      <c r="F74" s="1"/>
      <c r="G74" s="1"/>
      <c r="H74" s="1"/>
      <c r="I74" s="1"/>
      <c r="J74" s="1"/>
      <c r="K74" s="1"/>
      <c r="L74" s="1"/>
      <c r="M74" s="1"/>
      <c r="AA74" s="1"/>
    </row>
    <row r="75" customHeight="1" spans="6:27">
      <c r="F75" s="1"/>
      <c r="G75" s="1"/>
      <c r="H75" s="1"/>
      <c r="I75" s="1"/>
      <c r="J75" s="1"/>
      <c r="K75" s="1"/>
      <c r="L75" s="1"/>
      <c r="M75" s="1"/>
      <c r="AA75" s="1"/>
    </row>
    <row r="76" customHeight="1" spans="6:27">
      <c r="F76" s="1"/>
      <c r="G76" s="1"/>
      <c r="H76" s="1"/>
      <c r="I76" s="1"/>
      <c r="J76" s="1"/>
      <c r="K76" s="1"/>
      <c r="L76" s="1"/>
      <c r="M76" s="1"/>
      <c r="AA76" s="1"/>
    </row>
    <row r="77" customHeight="1" spans="6:27">
      <c r="F77" s="1"/>
      <c r="G77" s="1"/>
      <c r="H77" s="1"/>
      <c r="I77" s="1"/>
      <c r="J77" s="1"/>
      <c r="K77" s="1"/>
      <c r="L77" s="1"/>
      <c r="M77" s="1"/>
      <c r="AA77" s="1"/>
    </row>
    <row r="78" customHeight="1" spans="6:27">
      <c r="F78" s="1" t="s">
        <v>1553</v>
      </c>
      <c r="G78" s="1"/>
      <c r="H78" s="1"/>
      <c r="I78" s="1"/>
      <c r="J78" s="1"/>
      <c r="K78" s="1"/>
      <c r="L78" s="1"/>
      <c r="M78" s="1"/>
      <c r="AA78" s="1"/>
    </row>
    <row r="79" customHeight="1" spans="6:27">
      <c r="F79" s="1"/>
      <c r="G79" s="1"/>
      <c r="H79" s="1"/>
      <c r="I79" s="1"/>
      <c r="J79" s="1"/>
      <c r="K79" s="1"/>
      <c r="L79" s="1"/>
      <c r="M79" s="1"/>
      <c r="AA79" s="1"/>
    </row>
    <row r="80" customHeight="1" spans="6:27">
      <c r="F80" s="1"/>
      <c r="G80" s="1"/>
      <c r="H80" s="1"/>
      <c r="I80" s="1"/>
      <c r="J80" s="1"/>
      <c r="K80" s="1"/>
      <c r="L80" s="1"/>
      <c r="M80" s="1"/>
      <c r="AA80" s="1"/>
    </row>
    <row r="81" customHeight="1" spans="6:27">
      <c r="F81" s="1"/>
      <c r="G81" s="1"/>
      <c r="H81" s="1"/>
      <c r="I81" s="1"/>
      <c r="J81" s="1"/>
      <c r="K81" s="1"/>
      <c r="L81" s="1"/>
      <c r="M81" s="1"/>
      <c r="AA81" s="1"/>
    </row>
    <row r="82" customHeight="1" spans="6:27">
      <c r="F82" s="1"/>
      <c r="G82" s="1"/>
      <c r="H82" s="1"/>
      <c r="I82" s="1"/>
      <c r="J82" s="1"/>
      <c r="K82" s="1"/>
      <c r="L82" s="1"/>
      <c r="M82" s="1"/>
      <c r="AA82" s="1"/>
    </row>
    <row r="83" customHeight="1" spans="6:27">
      <c r="F83" s="1"/>
      <c r="G83" s="1"/>
      <c r="H83" s="1"/>
      <c r="I83" s="1"/>
      <c r="J83" s="1"/>
      <c r="K83" s="1"/>
      <c r="L83" s="1"/>
      <c r="M83" s="1"/>
      <c r="N83" s="209"/>
      <c r="AA83" s="1"/>
    </row>
    <row r="84" customHeight="1" spans="6:27">
      <c r="F84" s="1"/>
      <c r="G84" s="1"/>
      <c r="H84" s="1"/>
      <c r="I84" s="1"/>
      <c r="J84" s="1"/>
      <c r="K84" s="1"/>
      <c r="L84" s="1"/>
      <c r="M84" s="1"/>
      <c r="N84" s="209"/>
      <c r="AA84" s="1"/>
    </row>
    <row r="85" customHeight="1" spans="6:27">
      <c r="F85" s="1"/>
      <c r="G85" s="1"/>
      <c r="H85" s="1"/>
      <c r="I85" s="1"/>
      <c r="J85" s="1"/>
      <c r="K85" s="1"/>
      <c r="L85" s="1"/>
      <c r="M85" s="1"/>
      <c r="N85" s="209"/>
      <c r="AA85" s="1"/>
    </row>
    <row r="86" customHeight="1" spans="6:27">
      <c r="F86" s="1"/>
      <c r="G86" s="1"/>
      <c r="H86" s="1"/>
      <c r="I86" s="1"/>
      <c r="J86" s="1"/>
      <c r="K86" s="1"/>
      <c r="L86" s="1"/>
      <c r="M86" s="1"/>
      <c r="N86" s="209"/>
      <c r="AA86" s="1"/>
    </row>
    <row r="87" customHeight="1" spans="6:27">
      <c r="F87" s="1"/>
      <c r="G87" s="1"/>
      <c r="H87" s="1"/>
      <c r="I87" s="1"/>
      <c r="J87" s="1"/>
      <c r="K87" s="1"/>
      <c r="L87" s="1"/>
      <c r="M87" s="1"/>
      <c r="N87" s="209"/>
      <c r="AA87" s="1"/>
    </row>
    <row r="88" customHeight="1" spans="6:27">
      <c r="F88" s="1"/>
      <c r="G88" s="1"/>
      <c r="H88" s="1"/>
      <c r="I88" s="1"/>
      <c r="J88" s="1"/>
      <c r="K88" s="1"/>
      <c r="L88" s="1"/>
      <c r="M88" s="1"/>
      <c r="N88" s="209"/>
      <c r="AA88" s="1"/>
    </row>
    <row r="89" customHeight="1" spans="6:27">
      <c r="F89" s="1"/>
      <c r="G89" s="1"/>
      <c r="H89" s="1"/>
      <c r="I89" s="1"/>
      <c r="J89" s="1"/>
      <c r="K89" s="1"/>
      <c r="L89" s="1"/>
      <c r="M89" s="1"/>
      <c r="AA89" s="1"/>
    </row>
    <row r="90" customHeight="1" spans="6:27">
      <c r="F90" s="1"/>
      <c r="G90" s="1"/>
      <c r="H90" s="1"/>
      <c r="I90" s="1"/>
      <c r="J90" s="1"/>
      <c r="K90" s="1"/>
      <c r="L90" s="1"/>
      <c r="M90" s="1"/>
      <c r="AA90" s="1"/>
    </row>
    <row r="91" customHeight="1" spans="6:27">
      <c r="F91" s="1"/>
      <c r="G91" s="1"/>
      <c r="H91" s="1"/>
      <c r="I91" s="1"/>
      <c r="J91" s="1"/>
      <c r="K91" s="1"/>
      <c r="L91" s="1"/>
      <c r="M91" s="1"/>
      <c r="AA91" s="1"/>
    </row>
    <row r="92" customHeight="1" spans="6:13">
      <c r="F92" s="1"/>
      <c r="G92" s="1"/>
      <c r="H92" s="1"/>
      <c r="I92" s="1"/>
      <c r="J92" s="1"/>
      <c r="K92" s="1"/>
      <c r="L92" s="1"/>
      <c r="M92" s="1"/>
    </row>
    <row r="93" customHeight="1" spans="6:13">
      <c r="F93" s="1"/>
      <c r="G93" s="1"/>
      <c r="H93" s="1"/>
      <c r="I93" s="1"/>
      <c r="J93" s="1"/>
      <c r="K93" s="1"/>
      <c r="L93" s="1"/>
      <c r="M93" s="1"/>
    </row>
    <row r="94" customHeight="1" spans="6:13">
      <c r="F94" s="1"/>
      <c r="G94" s="1"/>
      <c r="H94" s="1"/>
      <c r="I94" s="1"/>
      <c r="J94" s="1"/>
      <c r="K94" s="1"/>
      <c r="L94" s="1"/>
      <c r="M94" s="1"/>
    </row>
    <row r="95" customHeight="1" spans="6:13">
      <c r="F95" s="1"/>
      <c r="G95" s="1"/>
      <c r="H95" s="1"/>
      <c r="I95" s="1"/>
      <c r="J95" s="1"/>
      <c r="K95" s="1"/>
      <c r="L95" s="1"/>
      <c r="M95" s="1"/>
    </row>
    <row r="96" customHeight="1" spans="6:13">
      <c r="F96" s="1"/>
      <c r="G96" s="1"/>
      <c r="H96" s="1"/>
      <c r="I96" s="1"/>
      <c r="J96" s="1"/>
      <c r="K96" s="1"/>
      <c r="L96" s="1"/>
      <c r="M96" s="1"/>
    </row>
    <row r="97" customHeight="1" spans="6:13">
      <c r="F97" s="1"/>
      <c r="G97" s="1"/>
      <c r="H97" s="1"/>
      <c r="I97" s="1"/>
      <c r="J97" s="1"/>
      <c r="K97" s="1"/>
      <c r="L97" s="1"/>
      <c r="M97" s="1"/>
    </row>
    <row r="98" customHeight="1" spans="6:13">
      <c r="F98" s="1"/>
      <c r="G98" s="1"/>
      <c r="H98" s="1"/>
      <c r="I98" s="1"/>
      <c r="J98" s="1"/>
      <c r="K98" s="1"/>
      <c r="L98" s="1"/>
      <c r="M98" s="1"/>
    </row>
    <row r="99" customHeight="1" spans="6:13">
      <c r="F99" s="1"/>
      <c r="G99" s="1"/>
      <c r="H99" s="1"/>
      <c r="I99" s="1"/>
      <c r="J99" s="1"/>
      <c r="K99" s="1"/>
      <c r="L99" s="1"/>
      <c r="M99" s="1"/>
    </row>
    <row r="100" customHeight="1" spans="6:13">
      <c r="F100" s="1"/>
      <c r="G100" s="1"/>
      <c r="H100" s="1"/>
      <c r="I100" s="1"/>
      <c r="J100" s="1"/>
      <c r="K100" s="1"/>
      <c r="L100" s="1"/>
      <c r="M100" s="1"/>
    </row>
    <row r="101" customHeight="1" spans="6:13">
      <c r="F101" s="1"/>
      <c r="G101" s="1"/>
      <c r="H101" s="1"/>
      <c r="I101" s="1"/>
      <c r="J101" s="1"/>
      <c r="K101" s="1"/>
      <c r="L101" s="1"/>
      <c r="M101" s="1"/>
    </row>
    <row r="102" customHeight="1" spans="6:13">
      <c r="F102" s="1"/>
      <c r="G102" s="1"/>
      <c r="H102" s="1"/>
      <c r="I102" s="1"/>
      <c r="J102" s="1"/>
      <c r="K102" s="1"/>
      <c r="L102" s="1"/>
      <c r="M102" s="1"/>
    </row>
    <row r="103" customHeight="1" spans="6:13">
      <c r="F103" s="1"/>
      <c r="G103" s="1"/>
      <c r="H103" s="1"/>
      <c r="I103" s="1"/>
      <c r="J103" s="1"/>
      <c r="K103" s="1"/>
      <c r="L103" s="1"/>
      <c r="M103" s="1"/>
    </row>
    <row r="104" customHeight="1" spans="6:13">
      <c r="F104" s="1" t="s">
        <v>1554</v>
      </c>
      <c r="G104" s="1"/>
      <c r="H104" s="1"/>
      <c r="I104" s="1"/>
      <c r="J104" s="1"/>
      <c r="K104" s="1"/>
      <c r="L104" s="1"/>
      <c r="M104" s="1"/>
    </row>
    <row r="105" customHeight="1" spans="6:13">
      <c r="F105" s="1"/>
      <c r="G105" s="1"/>
      <c r="H105" s="1"/>
      <c r="I105" s="1"/>
      <c r="J105" s="1"/>
      <c r="K105" s="1"/>
      <c r="L105" s="1"/>
      <c r="M105" s="1"/>
    </row>
    <row r="106" customHeight="1" spans="6:13">
      <c r="F106" s="1"/>
      <c r="G106" s="1"/>
      <c r="H106" s="1"/>
      <c r="I106" s="1"/>
      <c r="J106" s="1"/>
      <c r="K106" s="1"/>
      <c r="L106" s="1"/>
      <c r="M106" s="1"/>
    </row>
    <row r="107" customHeight="1" spans="6:10">
      <c r="F107" s="1"/>
      <c r="G107" s="1"/>
      <c r="H107" s="1"/>
      <c r="I107" s="1"/>
      <c r="J107" s="1"/>
    </row>
  </sheetData>
  <customSheetViews>
    <customSheetView guid="{27B96A40-A6B2-43F7-A93C-713F4207CB2A}">
      <selection activeCell="E10" sqref="E10"/>
      <pageMargins left="0.7" right="0.7" top="0.75" bottom="0.75" header="0.3" footer="0.3"/>
      <headerFooter/>
    </customSheetView>
  </customSheetViews>
  <mergeCells count="7">
    <mergeCell ref="A1:D1"/>
    <mergeCell ref="A4:A12"/>
    <mergeCell ref="A13:A19"/>
    <mergeCell ref="A20:A22"/>
    <mergeCell ref="A23:A26"/>
    <mergeCell ref="A43:D50"/>
    <mergeCell ref="A28:D37"/>
  </mergeCells>
  <dataValidations count="4">
    <dataValidation type="list" allowBlank="1" showInputMessage="1" showErrorMessage="1" prompt="请选择" sqref="C25">
      <formula1>"是,否"</formula1>
    </dataValidation>
    <dataValidation type="list" allowBlank="1" showInputMessage="1" showErrorMessage="1" prompt="请选择" sqref="C24">
      <formula1>"无缓冲,橡胶缓冲,气缓冲,液压缓冲"</formula1>
    </dataValidation>
    <dataValidation type="list" allowBlank="1" showInputMessage="1" showErrorMessage="1" prompt="请选择" sqref="C23">
      <formula1>"基本型,脚座型,杆侧法兰,无杆侧法兰,单耳环,双耳环,杆侧耳轴，无杆侧耳轴,中央耳轴"</formula1>
    </dataValidation>
    <dataValidation type="list" allowBlank="1" showInputMessage="1" showErrorMessage="1" prompt="请选择" sqref="C26">
      <formula1>"I接头,Y接头,标准浮动头,法兰浮动头,脚座浮动头"</formula1>
    </dataValidation>
  </dataValidations>
  <pageMargins left="0.7" right="0.7" top="0.75" bottom="0.75" header="0.3" footer="0.3"/>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96"/>
  <sheetViews>
    <sheetView workbookViewId="0">
      <selection activeCell="A1" sqref="A1:D1"/>
    </sheetView>
  </sheetViews>
  <sheetFormatPr defaultColWidth="15.625" defaultRowHeight="20.1" customHeight="1"/>
  <cols>
    <col min="1" max="1" width="15.625" style="82"/>
    <col min="2" max="2" width="23.375" style="82" customWidth="1"/>
    <col min="3" max="3" width="15.625" style="83"/>
    <col min="4" max="4" width="14.875" style="82" customWidth="1"/>
    <col min="5" max="5" width="7.125" style="82" customWidth="1"/>
    <col min="6" max="20" width="10.625" style="82" customWidth="1"/>
    <col min="21" max="27" width="8.625" style="82" customWidth="1"/>
    <col min="28" max="16384" width="15.625" style="82"/>
  </cols>
  <sheetData>
    <row r="1" ht="21.95" customHeight="1" spans="1:6">
      <c r="A1" s="358" t="s">
        <v>1555</v>
      </c>
      <c r="B1" s="125"/>
      <c r="C1" s="125"/>
      <c r="D1" s="125"/>
      <c r="F1" s="424" t="s">
        <v>1556</v>
      </c>
    </row>
    <row r="2" customHeight="1" spans="1:1">
      <c r="A2" s="106" t="s">
        <v>1557</v>
      </c>
    </row>
    <row r="3" customHeight="1" spans="1:30">
      <c r="A3" s="9" t="s">
        <v>269</v>
      </c>
      <c r="B3" s="9" t="s">
        <v>270</v>
      </c>
      <c r="C3" s="32" t="s">
        <v>271</v>
      </c>
      <c r="D3" s="92" t="s">
        <v>65</v>
      </c>
      <c r="H3" s="80"/>
      <c r="I3" s="80"/>
      <c r="K3" s="83"/>
      <c r="V3" s="115"/>
      <c r="W3" s="115"/>
      <c r="X3" s="115"/>
      <c r="Y3" s="115"/>
      <c r="Z3" s="115"/>
      <c r="AA3" s="115"/>
      <c r="AB3" s="115"/>
      <c r="AC3" s="115"/>
      <c r="AD3" s="115"/>
    </row>
    <row r="4" customHeight="1" spans="1:30">
      <c r="A4" s="251" t="s">
        <v>1083</v>
      </c>
      <c r="B4" s="9" t="s">
        <v>1558</v>
      </c>
      <c r="C4" s="91">
        <v>10</v>
      </c>
      <c r="D4" s="9"/>
      <c r="V4" s="115"/>
      <c r="W4" s="115"/>
      <c r="X4" s="115"/>
      <c r="Y4" s="115"/>
      <c r="Z4" s="115"/>
      <c r="AA4" s="115"/>
      <c r="AB4" s="115"/>
      <c r="AC4" s="115"/>
      <c r="AD4" s="115"/>
    </row>
    <row r="5" customHeight="1" spans="1:31">
      <c r="A5" s="252"/>
      <c r="B5" s="9" t="s">
        <v>1559</v>
      </c>
      <c r="C5" s="91">
        <v>3903</v>
      </c>
      <c r="D5" s="9" t="s">
        <v>1560</v>
      </c>
      <c r="F5" s="82" t="s">
        <v>1561</v>
      </c>
      <c r="W5" s="1"/>
      <c r="X5" s="1"/>
      <c r="Y5" s="1"/>
      <c r="Z5" s="1"/>
      <c r="AA5" s="1"/>
      <c r="AB5" s="1"/>
      <c r="AC5" s="1"/>
      <c r="AD5" s="1"/>
      <c r="AE5" s="1"/>
    </row>
    <row r="6" customHeight="1" spans="1:31">
      <c r="A6" s="252"/>
      <c r="B6" s="9" t="s">
        <v>1562</v>
      </c>
      <c r="C6" s="91">
        <v>120</v>
      </c>
      <c r="D6" s="92" t="s">
        <v>1563</v>
      </c>
      <c r="F6" s="1"/>
      <c r="G6" s="1"/>
      <c r="H6" s="1"/>
      <c r="P6" s="106"/>
      <c r="W6" s="114"/>
      <c r="X6" s="114"/>
      <c r="Y6" s="114"/>
      <c r="Z6" s="114"/>
      <c r="AA6" s="114"/>
      <c r="AB6" s="114"/>
      <c r="AC6" s="114"/>
      <c r="AD6" s="114"/>
      <c r="AE6" s="114"/>
    </row>
    <row r="7" customHeight="1" spans="1:26">
      <c r="A7" s="252"/>
      <c r="B7" s="9" t="s">
        <v>1564</v>
      </c>
      <c r="C7" s="91">
        <v>1.5</v>
      </c>
      <c r="D7" s="92"/>
      <c r="F7" s="222"/>
      <c r="G7" s="1"/>
      <c r="H7" s="1"/>
      <c r="W7" s="114"/>
      <c r="X7" s="114"/>
      <c r="Y7" s="114"/>
      <c r="Z7" s="114"/>
    </row>
    <row r="8" customHeight="1" spans="1:29">
      <c r="A8" s="252"/>
      <c r="B8" s="9" t="s">
        <v>1315</v>
      </c>
      <c r="C8" s="91">
        <v>5</v>
      </c>
      <c r="D8" s="92" t="s">
        <v>1565</v>
      </c>
      <c r="F8" s="1"/>
      <c r="G8" s="1"/>
      <c r="H8" s="1"/>
      <c r="U8" s="114"/>
      <c r="V8" s="114"/>
      <c r="W8" s="114"/>
      <c r="X8" s="114"/>
      <c r="Y8" s="114"/>
      <c r="Z8" s="114"/>
      <c r="AA8" s="114"/>
      <c r="AB8" s="114"/>
      <c r="AC8" s="114"/>
    </row>
    <row r="9" customHeight="1" spans="1:30">
      <c r="A9" s="255"/>
      <c r="B9" s="9" t="s">
        <v>1495</v>
      </c>
      <c r="C9" s="91">
        <v>0.5</v>
      </c>
      <c r="D9" s="92" t="s">
        <v>1496</v>
      </c>
      <c r="F9" s="1"/>
      <c r="G9" s="1"/>
      <c r="H9" s="1"/>
      <c r="V9" s="114"/>
      <c r="W9" s="114"/>
      <c r="X9" s="114"/>
      <c r="Y9" s="114"/>
      <c r="Z9" s="114"/>
      <c r="AA9" s="114"/>
      <c r="AB9" s="114"/>
      <c r="AC9" s="114"/>
      <c r="AD9" s="114"/>
    </row>
    <row r="10" customHeight="1" spans="1:27">
      <c r="A10" s="100" t="s">
        <v>1566</v>
      </c>
      <c r="B10" s="9" t="s">
        <v>1567</v>
      </c>
      <c r="C10" s="97">
        <f>2*RADIANS(C6)/C7^2</f>
        <v>1.86168453546062</v>
      </c>
      <c r="D10" s="9" t="s">
        <v>1568</v>
      </c>
      <c r="F10" s="1"/>
      <c r="G10" s="1"/>
      <c r="H10" s="1"/>
      <c r="S10" s="114"/>
      <c r="T10" s="114"/>
      <c r="U10" s="114"/>
      <c r="V10" s="114"/>
      <c r="W10" s="114"/>
      <c r="X10" s="114"/>
      <c r="Y10" s="114"/>
      <c r="Z10" s="114"/>
      <c r="AA10" s="114"/>
    </row>
    <row r="11" customHeight="1" spans="1:27">
      <c r="A11" s="101"/>
      <c r="B11" s="9" t="s">
        <v>1318</v>
      </c>
      <c r="C11" s="104">
        <f>C8*C5/1000^2*C10</f>
        <v>0.036330773709514</v>
      </c>
      <c r="D11" s="9" t="s">
        <v>1569</v>
      </c>
      <c r="F11" s="1"/>
      <c r="G11" s="1"/>
      <c r="H11" s="1"/>
      <c r="X11" s="114"/>
      <c r="Y11" s="114"/>
      <c r="Z11" s="114"/>
      <c r="AA11" s="114"/>
    </row>
    <row r="12" customHeight="1" spans="1:27">
      <c r="A12" s="101"/>
      <c r="B12" s="9" t="s">
        <v>1570</v>
      </c>
      <c r="C12" s="97">
        <f>2*RADIANS(C6)/C7</f>
        <v>2.79252680319093</v>
      </c>
      <c r="D12" s="9" t="s">
        <v>1571</v>
      </c>
      <c r="F12" s="1"/>
      <c r="G12" s="1"/>
      <c r="H12" s="1"/>
      <c r="X12" s="114"/>
      <c r="Y12" s="114"/>
      <c r="Z12" s="114"/>
      <c r="AA12" s="114"/>
    </row>
    <row r="13" customHeight="1" spans="1:27">
      <c r="A13" s="110"/>
      <c r="B13" s="9" t="s">
        <v>1572</v>
      </c>
      <c r="C13" s="104">
        <f>C5/1000^2*C12^2/2</f>
        <v>0.0152181989046723</v>
      </c>
      <c r="D13" s="9" t="s">
        <v>1573</v>
      </c>
      <c r="F13" s="1"/>
      <c r="G13" s="1"/>
      <c r="H13" s="1"/>
      <c r="X13" s="114"/>
      <c r="Y13" s="114"/>
      <c r="Z13" s="114"/>
      <c r="AA13" s="114"/>
    </row>
    <row r="14" customHeight="1" spans="1:27">
      <c r="A14" s="251" t="s">
        <v>1574</v>
      </c>
      <c r="B14" s="92" t="s">
        <v>1575</v>
      </c>
      <c r="C14" s="332" t="s">
        <v>1576</v>
      </c>
      <c r="D14" s="9" t="s">
        <v>1577</v>
      </c>
      <c r="F14" s="1"/>
      <c r="G14" s="1"/>
      <c r="H14" s="1"/>
      <c r="X14" s="114"/>
      <c r="Y14" s="114"/>
      <c r="Z14" s="114"/>
      <c r="AA14" s="114"/>
    </row>
    <row r="15" customHeight="1" spans="1:27">
      <c r="A15" s="252"/>
      <c r="B15" s="92" t="s">
        <v>1578</v>
      </c>
      <c r="C15" s="425" t="s">
        <v>1579</v>
      </c>
      <c r="D15" s="9" t="s">
        <v>297</v>
      </c>
      <c r="F15" s="1"/>
      <c r="G15" s="1"/>
      <c r="H15" s="1"/>
      <c r="X15" s="114"/>
      <c r="Y15" s="114"/>
      <c r="Z15" s="114"/>
      <c r="AA15" s="114"/>
    </row>
    <row r="16" customHeight="1" spans="1:25">
      <c r="A16" s="255"/>
      <c r="B16" s="92" t="s">
        <v>1580</v>
      </c>
      <c r="C16" s="426" t="str">
        <f>IF(C15="液压缓冲",C14&amp;" A",C14)</f>
        <v>HRQ 20 A</v>
      </c>
      <c r="D16" s="427"/>
      <c r="F16" s="1"/>
      <c r="G16" s="1"/>
      <c r="H16" s="1"/>
      <c r="X16" s="114"/>
      <c r="Y16" s="114"/>
    </row>
    <row r="17" customHeight="1" spans="1:27">
      <c r="A17" s="100" t="s">
        <v>1581</v>
      </c>
      <c r="B17" s="169" t="s">
        <v>1582</v>
      </c>
      <c r="C17" s="428">
        <f>IF(C14="HRQ 2",35,IF(C14="HRQ 3",50,IF(C14="HRQ 7",70,IF(C14="HRQ 10",80,IF(C14="HRQ 20",150,IF(C14="HRQ 30",200,IF(C14="HRQ 50",300,IF(C14="HRQ 70",300,IF(C14="HRQ 100",500,IF(C14="HRQ 200",740))))))))))</f>
        <v>150</v>
      </c>
      <c r="D17" s="169" t="s">
        <v>302</v>
      </c>
      <c r="F17" s="1"/>
      <c r="G17" s="1"/>
      <c r="H17" s="1"/>
      <c r="X17" s="114"/>
      <c r="Y17" s="114"/>
      <c r="Z17" s="114"/>
      <c r="AA17" s="114"/>
    </row>
    <row r="18" customHeight="1" spans="1:27">
      <c r="A18" s="110"/>
      <c r="B18" s="429" t="str">
        <f>IF(OR(9.8*C4&lt;C17,9.8*C4=C17),"mg≤[mg]","mg＞[mg]")</f>
        <v>mg≤[mg]</v>
      </c>
      <c r="C18" s="430" t="str">
        <f>IF(OR(9.8*C4&lt;C17,9.8*C4=C17),"校核合格","不合格，请重新选择型号")</f>
        <v>校核合格</v>
      </c>
      <c r="D18" s="431"/>
      <c r="F18" s="1"/>
      <c r="G18" s="1"/>
      <c r="H18" s="1"/>
      <c r="X18" s="114"/>
      <c r="Y18" s="114"/>
      <c r="Z18" s="114"/>
      <c r="AA18" s="114"/>
    </row>
    <row r="19" customHeight="1" spans="6:27">
      <c r="F19" s="1"/>
      <c r="G19" s="1"/>
      <c r="H19" s="1"/>
      <c r="Q19" s="1"/>
      <c r="X19" s="114"/>
      <c r="Y19" s="114"/>
      <c r="Z19" s="114"/>
      <c r="AA19" s="114"/>
    </row>
    <row r="20" customHeight="1" spans="1:25">
      <c r="A20" s="392" t="s">
        <v>1583</v>
      </c>
      <c r="B20" s="289"/>
      <c r="C20" s="289"/>
      <c r="D20" s="393"/>
      <c r="F20" s="1"/>
      <c r="G20" s="1"/>
      <c r="H20" s="1"/>
      <c r="X20" s="114"/>
      <c r="Y20" s="114"/>
    </row>
    <row r="21" customHeight="1" spans="1:25">
      <c r="A21" s="394"/>
      <c r="B21" s="290"/>
      <c r="C21" s="290"/>
      <c r="D21" s="395"/>
      <c r="F21" s="1"/>
      <c r="G21" s="1"/>
      <c r="H21" s="1"/>
      <c r="X21" s="114"/>
      <c r="Y21" s="114"/>
    </row>
    <row r="22" customHeight="1" spans="1:25">
      <c r="A22" s="394"/>
      <c r="B22" s="290"/>
      <c r="C22" s="290"/>
      <c r="D22" s="395"/>
      <c r="F22" s="1"/>
      <c r="G22" s="1"/>
      <c r="H22" s="1"/>
      <c r="X22" s="114"/>
      <c r="Y22" s="114"/>
    </row>
    <row r="23" customHeight="1" spans="1:28">
      <c r="A23" s="394"/>
      <c r="B23" s="290"/>
      <c r="C23" s="290"/>
      <c r="D23" s="395"/>
      <c r="F23" s="1"/>
      <c r="G23" s="1"/>
      <c r="H23" s="1"/>
      <c r="Y23" s="114"/>
      <c r="Z23" s="1"/>
      <c r="AA23" s="1"/>
      <c r="AB23" s="1"/>
    </row>
    <row r="24" customHeight="1" spans="1:28">
      <c r="A24" s="394"/>
      <c r="B24" s="290"/>
      <c r="C24" s="290"/>
      <c r="D24" s="395"/>
      <c r="F24" s="1"/>
      <c r="G24" s="1"/>
      <c r="H24" s="1"/>
      <c r="AB24" s="1"/>
    </row>
    <row r="25" customHeight="1" spans="1:28">
      <c r="A25" s="394"/>
      <c r="B25" s="290"/>
      <c r="C25" s="290"/>
      <c r="D25" s="395"/>
      <c r="F25" s="1"/>
      <c r="G25" s="1"/>
      <c r="H25" s="1"/>
      <c r="P25" s="106"/>
      <c r="AB25" s="1"/>
    </row>
    <row r="26" customHeight="1" spans="1:28">
      <c r="A26" s="394"/>
      <c r="B26" s="290"/>
      <c r="C26" s="290"/>
      <c r="D26" s="395"/>
      <c r="F26" s="1"/>
      <c r="G26" s="1"/>
      <c r="H26" s="1"/>
      <c r="AB26" s="1"/>
    </row>
    <row r="27" customHeight="1" spans="1:28">
      <c r="A27" s="394"/>
      <c r="B27" s="290"/>
      <c r="C27" s="290"/>
      <c r="D27" s="395"/>
      <c r="F27" s="1"/>
      <c r="G27" s="1"/>
      <c r="H27" s="1"/>
      <c r="AB27" s="1"/>
    </row>
    <row r="28" customHeight="1" spans="1:28">
      <c r="A28" s="394"/>
      <c r="B28" s="290"/>
      <c r="C28" s="290"/>
      <c r="D28" s="395"/>
      <c r="G28" s="1"/>
      <c r="H28" s="1"/>
      <c r="AB28" s="1"/>
    </row>
    <row r="29" customHeight="1" spans="1:28">
      <c r="A29" s="414"/>
      <c r="B29" s="415"/>
      <c r="C29" s="415"/>
      <c r="D29" s="416"/>
      <c r="F29" s="1"/>
      <c r="G29" s="1"/>
      <c r="H29" s="1"/>
      <c r="AB29" s="1"/>
    </row>
    <row r="30" customHeight="1" spans="1:28">
      <c r="A30" s="301" t="s">
        <v>1584</v>
      </c>
      <c r="B30" s="301"/>
      <c r="C30" s="301"/>
      <c r="D30" s="301"/>
      <c r="F30" s="1"/>
      <c r="G30" s="1"/>
      <c r="H30" s="1"/>
      <c r="AB30" s="1"/>
    </row>
    <row r="31" customHeight="1" spans="1:28">
      <c r="A31" s="301"/>
      <c r="B31" s="301"/>
      <c r="C31" s="301"/>
      <c r="D31" s="301"/>
      <c r="F31" s="1"/>
      <c r="G31" s="1"/>
      <c r="H31" s="1"/>
      <c r="AB31" s="1"/>
    </row>
    <row r="32" customHeight="1" spans="1:29">
      <c r="A32" s="301"/>
      <c r="B32" s="301"/>
      <c r="C32" s="301"/>
      <c r="D32" s="301"/>
      <c r="F32" s="1"/>
      <c r="G32" s="1"/>
      <c r="H32" s="1"/>
      <c r="AC32" s="1"/>
    </row>
    <row r="33" customHeight="1" spans="1:29">
      <c r="A33" s="301"/>
      <c r="B33" s="301"/>
      <c r="C33" s="301"/>
      <c r="D33" s="301"/>
      <c r="F33" s="1"/>
      <c r="G33" s="1"/>
      <c r="H33" s="1"/>
      <c r="AC33" s="1"/>
    </row>
    <row r="34" customHeight="1" spans="1:29">
      <c r="A34" s="106" t="s">
        <v>1585</v>
      </c>
      <c r="B34" s="137"/>
      <c r="C34" s="137"/>
      <c r="D34" s="137"/>
      <c r="F34" s="1"/>
      <c r="G34" s="1"/>
      <c r="H34" s="1"/>
      <c r="AC34" s="1"/>
    </row>
    <row r="35" customHeight="1" spans="6:29">
      <c r="F35" s="1"/>
      <c r="G35" s="1"/>
      <c r="H35" s="1"/>
      <c r="AC35" s="1"/>
    </row>
    <row r="36" customHeight="1" spans="6:29">
      <c r="F36" s="1"/>
      <c r="G36" s="1"/>
      <c r="H36" s="1"/>
      <c r="AC36" s="1"/>
    </row>
    <row r="37" customHeight="1" spans="6:29">
      <c r="F37" s="222"/>
      <c r="G37" s="1"/>
      <c r="H37" s="300"/>
      <c r="I37" s="300"/>
      <c r="J37" s="300"/>
      <c r="AC37" s="1"/>
    </row>
    <row r="38" customHeight="1" spans="6:29">
      <c r="F38" s="106" t="s">
        <v>1586</v>
      </c>
      <c r="G38" s="1"/>
      <c r="H38" s="300"/>
      <c r="I38" s="300"/>
      <c r="J38" s="300"/>
      <c r="K38" s="303"/>
      <c r="L38" s="303"/>
      <c r="M38" s="303"/>
      <c r="AC38" s="1"/>
    </row>
    <row r="39" customHeight="1" spans="6:29">
      <c r="F39" s="222"/>
      <c r="G39" s="1"/>
      <c r="H39" s="300"/>
      <c r="I39" s="300"/>
      <c r="J39" s="300"/>
      <c r="K39" s="303"/>
      <c r="L39" s="303"/>
      <c r="M39" s="303"/>
      <c r="AC39" s="1"/>
    </row>
    <row r="40" customHeight="1" spans="6:29">
      <c r="F40" s="1"/>
      <c r="G40" s="1"/>
      <c r="H40" s="1"/>
      <c r="I40" s="1"/>
      <c r="J40" s="1"/>
      <c r="K40" s="300"/>
      <c r="L40" s="300"/>
      <c r="M40" s="300"/>
      <c r="AC40" s="1"/>
    </row>
    <row r="41" customHeight="1" spans="6:29">
      <c r="F41" s="222"/>
      <c r="G41" s="1"/>
      <c r="H41" s="1"/>
      <c r="I41" s="1"/>
      <c r="J41" s="1"/>
      <c r="K41" s="1"/>
      <c r="L41" s="1"/>
      <c r="M41" s="1"/>
      <c r="AC41" s="1"/>
    </row>
    <row r="42" customHeight="1" spans="6:29">
      <c r="F42" s="1"/>
      <c r="G42" s="1"/>
      <c r="H42" s="1"/>
      <c r="I42" s="1"/>
      <c r="J42" s="1"/>
      <c r="K42" s="1"/>
      <c r="L42" s="1"/>
      <c r="M42" s="1"/>
      <c r="AC42" s="1"/>
    </row>
    <row r="43" customHeight="1" spans="6:29">
      <c r="F43" s="1"/>
      <c r="G43" s="1"/>
      <c r="H43" s="1"/>
      <c r="I43" s="1"/>
      <c r="J43" s="1"/>
      <c r="K43" s="1"/>
      <c r="L43" s="1"/>
      <c r="M43" s="1"/>
      <c r="AC43" s="1"/>
    </row>
    <row r="44" customHeight="1" spans="1:29">
      <c r="A44" s="106" t="s">
        <v>1587</v>
      </c>
      <c r="F44" s="1"/>
      <c r="G44" s="1"/>
      <c r="H44" s="1"/>
      <c r="I44" s="1"/>
      <c r="J44" s="1"/>
      <c r="K44" s="1"/>
      <c r="L44" s="1"/>
      <c r="M44" s="1"/>
      <c r="AC44" s="1"/>
    </row>
    <row r="45" customHeight="1" spans="6:29">
      <c r="F45" s="1"/>
      <c r="G45" s="1"/>
      <c r="H45" s="1"/>
      <c r="I45" s="1"/>
      <c r="J45" s="1"/>
      <c r="K45" s="1"/>
      <c r="L45" s="1"/>
      <c r="M45" s="1"/>
      <c r="N45" s="1"/>
      <c r="AC45" s="1"/>
    </row>
    <row r="46" customHeight="1" spans="6:29">
      <c r="F46" s="1"/>
      <c r="G46" s="1"/>
      <c r="H46" s="1"/>
      <c r="I46" s="1"/>
      <c r="J46" s="1"/>
      <c r="K46" s="1"/>
      <c r="L46" s="1"/>
      <c r="M46" s="1"/>
      <c r="AC46" s="1"/>
    </row>
    <row r="47" customHeight="1" spans="6:29">
      <c r="F47" s="1"/>
      <c r="G47" s="1"/>
      <c r="H47" s="1"/>
      <c r="I47" s="1"/>
      <c r="J47" s="1"/>
      <c r="K47" s="1"/>
      <c r="L47" s="1"/>
      <c r="M47" s="1"/>
      <c r="AC47" s="1"/>
    </row>
    <row r="48" customHeight="1" spans="6:29">
      <c r="F48" s="1"/>
      <c r="G48" s="1"/>
      <c r="H48" s="1"/>
      <c r="I48" s="1"/>
      <c r="J48" s="1"/>
      <c r="K48" s="1"/>
      <c r="L48" s="1"/>
      <c r="M48" s="1"/>
      <c r="P48" s="1"/>
      <c r="Q48" s="1"/>
      <c r="AC48" s="1"/>
    </row>
    <row r="49" customHeight="1" spans="6:29">
      <c r="F49" s="1"/>
      <c r="G49" s="1"/>
      <c r="H49" s="1"/>
      <c r="I49" s="1"/>
      <c r="J49" s="1"/>
      <c r="K49" s="1"/>
      <c r="L49" s="1"/>
      <c r="M49" s="1"/>
      <c r="AC49" s="1"/>
    </row>
    <row r="50" customHeight="1" spans="6:28">
      <c r="F50" s="1"/>
      <c r="G50" s="1"/>
      <c r="H50" s="1"/>
      <c r="I50" s="1"/>
      <c r="J50" s="1"/>
      <c r="K50" s="1"/>
      <c r="L50" s="1"/>
      <c r="M50" s="1"/>
      <c r="AB50" s="1"/>
    </row>
    <row r="51" customHeight="1" spans="6:28">
      <c r="F51" s="106" t="s">
        <v>1588</v>
      </c>
      <c r="G51" s="1"/>
      <c r="H51" s="1"/>
      <c r="I51" s="1"/>
      <c r="J51" s="1"/>
      <c r="K51" s="1"/>
      <c r="L51" s="1"/>
      <c r="M51" s="1"/>
      <c r="O51" s="1"/>
      <c r="AB51" s="1"/>
    </row>
    <row r="52" customHeight="1" spans="6:28">
      <c r="F52" s="1"/>
      <c r="G52" s="1"/>
      <c r="H52" s="1"/>
      <c r="I52" s="1"/>
      <c r="J52" s="1"/>
      <c r="K52" s="1"/>
      <c r="L52" s="1"/>
      <c r="M52" s="1"/>
      <c r="AB52" s="1"/>
    </row>
    <row r="53" customHeight="1" spans="6:28">
      <c r="F53" s="1"/>
      <c r="G53" s="1"/>
      <c r="H53" s="1"/>
      <c r="I53" s="1"/>
      <c r="J53" s="1"/>
      <c r="K53" s="1"/>
      <c r="L53" s="1"/>
      <c r="M53" s="1"/>
      <c r="AB53" s="1"/>
    </row>
    <row r="54" customHeight="1" spans="6:28">
      <c r="F54" s="1"/>
      <c r="G54" s="1"/>
      <c r="H54" s="1"/>
      <c r="I54" s="1"/>
      <c r="J54" s="1"/>
      <c r="K54" s="1"/>
      <c r="L54" s="1"/>
      <c r="M54" s="1"/>
      <c r="AB54" s="1"/>
    </row>
    <row r="55" customHeight="1" spans="6:28">
      <c r="F55" s="1"/>
      <c r="G55" s="1"/>
      <c r="H55" s="1"/>
      <c r="I55" s="1"/>
      <c r="J55" s="1"/>
      <c r="K55" s="1"/>
      <c r="L55" s="1"/>
      <c r="M55" s="1"/>
      <c r="AB55" s="1"/>
    </row>
    <row r="56" customHeight="1" spans="6:28">
      <c r="F56" s="1"/>
      <c r="G56" s="1"/>
      <c r="H56" s="1"/>
      <c r="I56" s="1"/>
      <c r="J56" s="1"/>
      <c r="K56" s="1"/>
      <c r="L56" s="1"/>
      <c r="M56" s="1"/>
      <c r="AB56" s="1"/>
    </row>
    <row r="57" customHeight="1" spans="6:28">
      <c r="F57" s="1"/>
      <c r="G57" s="1"/>
      <c r="H57" s="1"/>
      <c r="I57" s="1"/>
      <c r="J57" s="1"/>
      <c r="K57" s="1"/>
      <c r="L57" s="1"/>
      <c r="M57" s="1"/>
      <c r="AB57" s="1"/>
    </row>
    <row r="58" customHeight="1" spans="6:29">
      <c r="F58" s="1"/>
      <c r="G58" s="1"/>
      <c r="H58" s="1"/>
      <c r="I58" s="1"/>
      <c r="J58" s="1"/>
      <c r="K58" s="1"/>
      <c r="L58" s="1"/>
      <c r="M58" s="1"/>
      <c r="AC58" s="1"/>
    </row>
    <row r="59" customHeight="1" spans="6:29">
      <c r="F59" s="1"/>
      <c r="G59" s="1"/>
      <c r="H59" s="1"/>
      <c r="I59" s="1"/>
      <c r="J59" s="1"/>
      <c r="K59" s="1"/>
      <c r="L59" s="1"/>
      <c r="M59" s="1"/>
      <c r="AC59" s="1"/>
    </row>
    <row r="60" customHeight="1" spans="6:29">
      <c r="F60" s="1"/>
      <c r="G60" s="1"/>
      <c r="H60" s="1"/>
      <c r="I60" s="1"/>
      <c r="J60" s="1"/>
      <c r="K60" s="1"/>
      <c r="L60" s="1"/>
      <c r="M60" s="1"/>
      <c r="AC60" s="1"/>
    </row>
    <row r="61" customHeight="1" spans="6:29">
      <c r="F61" s="1"/>
      <c r="G61" s="1"/>
      <c r="H61" s="1"/>
      <c r="I61" s="1"/>
      <c r="J61" s="1"/>
      <c r="K61" s="1"/>
      <c r="L61" s="1"/>
      <c r="M61" s="1"/>
      <c r="AC61" s="1"/>
    </row>
    <row r="62" customHeight="1" spans="6:29">
      <c r="F62" s="1"/>
      <c r="G62" s="1"/>
      <c r="H62" s="1"/>
      <c r="I62" s="1"/>
      <c r="J62" s="1"/>
      <c r="K62" s="1"/>
      <c r="L62" s="1"/>
      <c r="M62" s="1"/>
      <c r="AC62" s="1"/>
    </row>
    <row r="63" customHeight="1" spans="6:29">
      <c r="F63" s="1"/>
      <c r="G63" s="1"/>
      <c r="H63" s="1"/>
      <c r="I63" s="1"/>
      <c r="J63" s="1"/>
      <c r="K63" s="1"/>
      <c r="L63" s="1"/>
      <c r="M63" s="1"/>
      <c r="AC63" s="1"/>
    </row>
    <row r="64" customHeight="1" spans="6:29">
      <c r="F64" s="1"/>
      <c r="G64" s="1"/>
      <c r="H64" s="1"/>
      <c r="I64" s="1"/>
      <c r="J64" s="1"/>
      <c r="K64" s="1"/>
      <c r="L64" s="1"/>
      <c r="M64" s="1"/>
      <c r="AC64" s="1"/>
    </row>
    <row r="65" customHeight="1" spans="6:29">
      <c r="F65" s="1"/>
      <c r="G65" s="1"/>
      <c r="H65" s="1"/>
      <c r="I65" s="1"/>
      <c r="J65" s="1"/>
      <c r="K65" s="1"/>
      <c r="L65" s="1"/>
      <c r="M65" s="1"/>
      <c r="AC65" s="1"/>
    </row>
    <row r="66" customHeight="1" spans="6:29">
      <c r="F66" s="1"/>
      <c r="G66" s="1"/>
      <c r="H66" s="1"/>
      <c r="I66" s="1"/>
      <c r="J66" s="1"/>
      <c r="K66" s="1"/>
      <c r="L66" s="1"/>
      <c r="M66" s="1"/>
      <c r="AC66" s="1"/>
    </row>
    <row r="67" customHeight="1" spans="6:29">
      <c r="F67" s="1"/>
      <c r="G67" s="1"/>
      <c r="H67" s="1"/>
      <c r="I67" s="1"/>
      <c r="J67" s="1"/>
      <c r="K67" s="1"/>
      <c r="L67" s="1"/>
      <c r="M67" s="1"/>
      <c r="AC67" s="1"/>
    </row>
    <row r="68" customHeight="1" spans="6:29">
      <c r="F68" s="1"/>
      <c r="G68" s="1"/>
      <c r="H68" s="1"/>
      <c r="I68" s="1"/>
      <c r="J68" s="1"/>
      <c r="K68" s="1"/>
      <c r="L68" s="1"/>
      <c r="M68" s="1"/>
      <c r="AC68" s="1"/>
    </row>
    <row r="69" customHeight="1" spans="6:29">
      <c r="F69" s="1"/>
      <c r="G69" s="1"/>
      <c r="H69" s="1"/>
      <c r="I69" s="1"/>
      <c r="J69" s="1"/>
      <c r="K69" s="1"/>
      <c r="L69" s="1"/>
      <c r="M69" s="1"/>
      <c r="AC69" s="1"/>
    </row>
    <row r="70" customHeight="1" spans="6:29">
      <c r="F70" s="1"/>
      <c r="G70" s="1"/>
      <c r="H70" s="1"/>
      <c r="I70" s="1"/>
      <c r="J70" s="1"/>
      <c r="K70" s="1"/>
      <c r="L70" s="1"/>
      <c r="M70" s="1"/>
      <c r="AC70" s="1"/>
    </row>
    <row r="71" customHeight="1" spans="6:29">
      <c r="F71" s="1"/>
      <c r="G71" s="1"/>
      <c r="H71" s="1"/>
      <c r="I71" s="1"/>
      <c r="J71" s="1"/>
      <c r="K71" s="1"/>
      <c r="L71" s="1"/>
      <c r="M71" s="1"/>
      <c r="P71" s="209"/>
      <c r="AC71" s="1"/>
    </row>
    <row r="72" customHeight="1" spans="6:29">
      <c r="F72" s="1"/>
      <c r="G72" s="1"/>
      <c r="H72" s="1"/>
      <c r="I72" s="1"/>
      <c r="J72" s="1"/>
      <c r="K72" s="1"/>
      <c r="L72" s="1"/>
      <c r="M72" s="1"/>
      <c r="P72" s="209"/>
      <c r="AC72" s="1"/>
    </row>
    <row r="73" customHeight="1" spans="6:29">
      <c r="F73" s="1"/>
      <c r="G73" s="1"/>
      <c r="H73" s="1"/>
      <c r="I73" s="1"/>
      <c r="J73" s="1"/>
      <c r="K73" s="1"/>
      <c r="L73" s="1"/>
      <c r="M73" s="1"/>
      <c r="P73" s="209"/>
      <c r="AC73" s="1"/>
    </row>
    <row r="74" customHeight="1" spans="6:29">
      <c r="F74" s="1"/>
      <c r="G74" s="1"/>
      <c r="H74" s="1"/>
      <c r="I74" s="1"/>
      <c r="J74" s="1"/>
      <c r="K74" s="1"/>
      <c r="L74" s="1"/>
      <c r="M74" s="1"/>
      <c r="P74" s="209"/>
      <c r="AC74" s="1"/>
    </row>
    <row r="75" customHeight="1" spans="6:29">
      <c r="F75" s="1"/>
      <c r="G75" s="1"/>
      <c r="H75" s="1"/>
      <c r="I75" s="1"/>
      <c r="J75" s="1"/>
      <c r="K75" s="1"/>
      <c r="L75" s="1"/>
      <c r="M75" s="1"/>
      <c r="P75" s="209"/>
      <c r="AC75" s="1"/>
    </row>
    <row r="76" customHeight="1" spans="6:29">
      <c r="F76" s="1"/>
      <c r="G76" s="1"/>
      <c r="H76" s="1"/>
      <c r="I76" s="1"/>
      <c r="J76" s="1"/>
      <c r="K76" s="1"/>
      <c r="L76" s="1"/>
      <c r="M76" s="1"/>
      <c r="P76" s="209"/>
      <c r="AC76" s="1"/>
    </row>
    <row r="77" customHeight="1" spans="6:29">
      <c r="F77" s="1"/>
      <c r="G77" s="1"/>
      <c r="H77" s="1"/>
      <c r="I77" s="1"/>
      <c r="J77" s="1"/>
      <c r="K77" s="1"/>
      <c r="L77" s="1"/>
      <c r="M77" s="1"/>
      <c r="AC77" s="1"/>
    </row>
    <row r="78" customHeight="1" spans="6:29">
      <c r="F78" s="1"/>
      <c r="G78" s="1"/>
      <c r="H78" s="1"/>
      <c r="I78" s="1"/>
      <c r="J78" s="1"/>
      <c r="K78" s="1"/>
      <c r="L78" s="1"/>
      <c r="M78" s="1"/>
      <c r="AC78" s="1"/>
    </row>
    <row r="79" customHeight="1" spans="6:29">
      <c r="F79" s="1"/>
      <c r="G79" s="1"/>
      <c r="H79" s="1"/>
      <c r="I79" s="1"/>
      <c r="J79" s="1"/>
      <c r="K79" s="1"/>
      <c r="L79" s="1"/>
      <c r="M79" s="1"/>
      <c r="AC79" s="1"/>
    </row>
    <row r="80" customHeight="1" spans="6:29">
      <c r="F80" s="1"/>
      <c r="G80" s="1"/>
      <c r="H80" s="1"/>
      <c r="I80" s="1"/>
      <c r="J80" s="1"/>
      <c r="K80" s="1"/>
      <c r="L80" s="1"/>
      <c r="M80" s="1"/>
      <c r="AC80" s="1"/>
    </row>
    <row r="81" customHeight="1" spans="6:29">
      <c r="F81" s="1"/>
      <c r="G81" s="1"/>
      <c r="H81" s="1"/>
      <c r="I81" s="1"/>
      <c r="J81" s="1"/>
      <c r="K81" s="1"/>
      <c r="L81" s="1"/>
      <c r="M81" s="1"/>
      <c r="AC81" s="1"/>
    </row>
    <row r="82" customHeight="1" spans="6:29">
      <c r="F82" s="1"/>
      <c r="G82" s="1"/>
      <c r="H82" s="1"/>
      <c r="I82" s="1"/>
      <c r="J82" s="1"/>
      <c r="K82" s="1"/>
      <c r="L82" s="1"/>
      <c r="M82" s="1"/>
      <c r="AC82" s="1"/>
    </row>
    <row r="83" customHeight="1" spans="6:29">
      <c r="F83" s="1"/>
      <c r="G83" s="1"/>
      <c r="H83" s="1"/>
      <c r="I83" s="1"/>
      <c r="J83" s="1"/>
      <c r="K83" s="1"/>
      <c r="L83" s="1"/>
      <c r="M83" s="1"/>
      <c r="AC83" s="1"/>
    </row>
    <row r="84" customHeight="1" spans="6:29">
      <c r="F84" s="1"/>
      <c r="G84" s="1"/>
      <c r="H84" s="1"/>
      <c r="I84" s="1"/>
      <c r="J84" s="1"/>
      <c r="K84" s="1"/>
      <c r="L84" s="1"/>
      <c r="M84" s="1"/>
      <c r="AC84" s="1"/>
    </row>
    <row r="85" customHeight="1" spans="6:29">
      <c r="F85" s="1"/>
      <c r="G85" s="1"/>
      <c r="H85" s="1"/>
      <c r="I85" s="1"/>
      <c r="J85" s="1"/>
      <c r="K85" s="1"/>
      <c r="L85" s="1"/>
      <c r="M85" s="1"/>
      <c r="AC85" s="1"/>
    </row>
    <row r="86" customHeight="1" spans="6:29">
      <c r="F86" s="1"/>
      <c r="G86" s="1"/>
      <c r="H86" s="1"/>
      <c r="I86" s="1"/>
      <c r="J86" s="1"/>
      <c r="K86" s="1"/>
      <c r="L86" s="1"/>
      <c r="M86" s="1"/>
      <c r="AC86" s="1"/>
    </row>
    <row r="87" customHeight="1" spans="6:29">
      <c r="F87" s="1"/>
      <c r="G87" s="1"/>
      <c r="H87" s="1"/>
      <c r="I87" s="1"/>
      <c r="J87" s="1"/>
      <c r="K87" s="1"/>
      <c r="L87" s="1"/>
      <c r="M87" s="1"/>
      <c r="AC87" s="1"/>
    </row>
    <row r="88" customHeight="1" spans="6:29">
      <c r="F88" s="1"/>
      <c r="G88" s="1"/>
      <c r="H88" s="1"/>
      <c r="I88" s="1"/>
      <c r="J88" s="1"/>
      <c r="K88" s="1"/>
      <c r="L88" s="1"/>
      <c r="M88" s="1"/>
      <c r="AC88" s="1"/>
    </row>
    <row r="89" customHeight="1" spans="6:29">
      <c r="F89" s="1"/>
      <c r="G89" s="1"/>
      <c r="H89" s="1"/>
      <c r="I89" s="1"/>
      <c r="J89" s="1"/>
      <c r="K89" s="1"/>
      <c r="L89" s="1"/>
      <c r="M89" s="1"/>
      <c r="AC89" s="1"/>
    </row>
    <row r="90" customHeight="1" spans="6:29">
      <c r="F90" s="1"/>
      <c r="G90" s="1"/>
      <c r="H90" s="1"/>
      <c r="I90" s="1"/>
      <c r="J90" s="1"/>
      <c r="K90" s="1"/>
      <c r="L90" s="1"/>
      <c r="M90" s="1"/>
      <c r="AC90" s="1"/>
    </row>
    <row r="91" customHeight="1" spans="6:29">
      <c r="F91" s="1"/>
      <c r="G91" s="1"/>
      <c r="H91" s="1"/>
      <c r="I91" s="1"/>
      <c r="J91" s="1"/>
      <c r="K91" s="1"/>
      <c r="L91" s="1"/>
      <c r="M91" s="1"/>
      <c r="AC91" s="1"/>
    </row>
    <row r="92" customHeight="1" spans="6:13">
      <c r="F92" s="1"/>
      <c r="G92" s="1"/>
      <c r="H92" s="1"/>
      <c r="I92" s="1"/>
      <c r="J92" s="1"/>
      <c r="K92" s="1"/>
      <c r="L92" s="1"/>
      <c r="M92" s="1"/>
    </row>
    <row r="93" customHeight="1" spans="6:13">
      <c r="F93" s="1"/>
      <c r="G93" s="1"/>
      <c r="H93" s="1"/>
      <c r="I93" s="1"/>
      <c r="J93" s="1"/>
      <c r="K93" s="1"/>
      <c r="L93" s="1"/>
      <c r="M93" s="1"/>
    </row>
    <row r="94" customHeight="1" spans="6:13">
      <c r="F94" s="1"/>
      <c r="G94" s="1"/>
      <c r="H94" s="1"/>
      <c r="I94" s="1"/>
      <c r="J94" s="1"/>
      <c r="K94" s="1"/>
      <c r="L94" s="1"/>
      <c r="M94" s="1"/>
    </row>
    <row r="95" customHeight="1" spans="6:13">
      <c r="F95" s="1"/>
      <c r="G95" s="1"/>
      <c r="H95" s="1"/>
      <c r="I95" s="1"/>
      <c r="J95" s="1"/>
      <c r="K95" s="1"/>
      <c r="L95" s="1"/>
      <c r="M95" s="1"/>
    </row>
    <row r="96" customHeight="1" spans="11:13">
      <c r="K96" s="1"/>
      <c r="L96" s="1"/>
      <c r="M96" s="1"/>
    </row>
  </sheetData>
  <customSheetViews>
    <customSheetView guid="{27B96A40-A6B2-43F7-A93C-713F4207CB2A}">
      <selection activeCell="A1" sqref="A1:D1"/>
      <pageMargins left="0.7" right="0.7" top="0.75" bottom="0.75" header="0.3" footer="0.3"/>
      <headerFooter/>
    </customSheetView>
  </customSheetViews>
  <mergeCells count="9">
    <mergeCell ref="A1:D1"/>
    <mergeCell ref="C16:D16"/>
    <mergeCell ref="C18:D18"/>
    <mergeCell ref="A4:A9"/>
    <mergeCell ref="A10:A13"/>
    <mergeCell ref="A14:A16"/>
    <mergeCell ref="A17:A18"/>
    <mergeCell ref="A30:D33"/>
    <mergeCell ref="A20:D29"/>
  </mergeCells>
  <dataValidations count="2">
    <dataValidation type="list" allowBlank="1" showInputMessage="1" showErrorMessage="1" sqref="C14">
      <formula1>"HRQ 2,HRQ 3,HRQ 7,HRQ 10,HRQ 20,HRQ 30,HRQ 50,HRQ 70,HRQ 100,HRQ 200,"</formula1>
    </dataValidation>
    <dataValidation type="list" allowBlank="1" showInputMessage="1" showErrorMessage="1" prompt="请选择" sqref="C15">
      <formula1>"调整螺丝(固定),液压缓冲"</formula1>
    </dataValidation>
  </dataValidations>
  <pageMargins left="0.7" right="0.7" top="0.75" bottom="0.75" header="0.3" footer="0.3"/>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80"/>
  <sheetViews>
    <sheetView workbookViewId="0">
      <selection activeCell="A56" sqref="A56:D59"/>
    </sheetView>
  </sheetViews>
  <sheetFormatPr defaultColWidth="15.625" defaultRowHeight="20.1" customHeight="1"/>
  <cols>
    <col min="1" max="1" width="15.625" style="82"/>
    <col min="2" max="2" width="22" style="82" customWidth="1"/>
    <col min="3" max="3" width="12.625" style="83" customWidth="1"/>
    <col min="4" max="4" width="17.625" style="82" customWidth="1"/>
    <col min="5" max="5" width="6.875" style="82" customWidth="1"/>
    <col min="6" max="8" width="10.625" style="82" customWidth="1"/>
    <col min="9" max="9" width="10" style="82" customWidth="1"/>
    <col min="10" max="10" width="9.75" style="82" customWidth="1"/>
    <col min="11" max="11" width="9.25" style="82" customWidth="1"/>
    <col min="12" max="20" width="10.625" style="82" customWidth="1"/>
    <col min="21" max="27" width="8.625" style="82" customWidth="1"/>
    <col min="28" max="16384" width="15.625" style="82"/>
  </cols>
  <sheetData>
    <row r="1" ht="21.95" customHeight="1" spans="1:6">
      <c r="A1" s="358" t="s">
        <v>1589</v>
      </c>
      <c r="B1" s="125"/>
      <c r="C1" s="125"/>
      <c r="D1" s="125"/>
      <c r="F1" s="373"/>
    </row>
    <row r="2" customHeight="1" spans="1:6">
      <c r="A2" s="106" t="s">
        <v>1489</v>
      </c>
      <c r="F2" s="82" t="s">
        <v>1590</v>
      </c>
    </row>
    <row r="3" customHeight="1" spans="1:30">
      <c r="A3" s="9" t="s">
        <v>269</v>
      </c>
      <c r="B3" s="9" t="s">
        <v>270</v>
      </c>
      <c r="C3" s="32" t="s">
        <v>271</v>
      </c>
      <c r="D3" s="9" t="s">
        <v>272</v>
      </c>
      <c r="F3" s="403" t="s">
        <v>1591</v>
      </c>
      <c r="G3" s="403" t="s">
        <v>1037</v>
      </c>
      <c r="H3" s="403" t="s">
        <v>1592</v>
      </c>
      <c r="I3" s="417" t="s">
        <v>1593</v>
      </c>
      <c r="J3" s="418"/>
      <c r="K3" s="419"/>
      <c r="P3" s="114"/>
      <c r="R3" s="114"/>
      <c r="S3" s="114"/>
      <c r="T3" s="114"/>
      <c r="V3" s="115"/>
      <c r="W3" s="115"/>
      <c r="X3" s="115"/>
      <c r="Y3" s="115"/>
      <c r="Z3" s="115"/>
      <c r="AA3" s="115"/>
      <c r="AB3" s="115"/>
      <c r="AC3" s="115"/>
      <c r="AD3" s="115"/>
    </row>
    <row r="4" customHeight="1" spans="1:30">
      <c r="A4" s="359" t="s">
        <v>1083</v>
      </c>
      <c r="B4" s="9" t="s">
        <v>1594</v>
      </c>
      <c r="C4" s="151" t="s">
        <v>1595</v>
      </c>
      <c r="D4" s="9" t="s">
        <v>1596</v>
      </c>
      <c r="F4" s="404" t="s">
        <v>1597</v>
      </c>
      <c r="G4" s="405" t="s">
        <v>1598</v>
      </c>
      <c r="H4" s="406" t="s">
        <v>1599</v>
      </c>
      <c r="I4" s="379" t="s">
        <v>1600</v>
      </c>
      <c r="J4" s="379"/>
      <c r="K4" s="379"/>
      <c r="T4" s="114"/>
      <c r="V4" s="115"/>
      <c r="W4" s="115"/>
      <c r="X4" s="115"/>
      <c r="Y4" s="115"/>
      <c r="Z4" s="115"/>
      <c r="AA4" s="115"/>
      <c r="AB4" s="115"/>
      <c r="AC4" s="115"/>
      <c r="AD4" s="115"/>
    </row>
    <row r="5" customHeight="1" spans="1:31">
      <c r="A5" s="360"/>
      <c r="B5" s="9" t="s">
        <v>1601</v>
      </c>
      <c r="C5" s="91">
        <v>0.15</v>
      </c>
      <c r="D5" s="9" t="s">
        <v>1602</v>
      </c>
      <c r="F5" s="407"/>
      <c r="G5" s="405"/>
      <c r="H5" s="406" t="s">
        <v>1603</v>
      </c>
      <c r="I5" s="379" t="s">
        <v>1604</v>
      </c>
      <c r="J5" s="379"/>
      <c r="K5" s="379"/>
      <c r="T5" s="114"/>
      <c r="W5" s="1"/>
      <c r="X5" s="1"/>
      <c r="Y5" s="1"/>
      <c r="Z5" s="1"/>
      <c r="AA5" s="1"/>
      <c r="AB5" s="1"/>
      <c r="AC5" s="1"/>
      <c r="AD5" s="1"/>
      <c r="AE5" s="1"/>
    </row>
    <row r="6" customHeight="1" spans="1:31">
      <c r="A6" s="360"/>
      <c r="B6" s="9" t="s">
        <v>1605</v>
      </c>
      <c r="C6" s="210">
        <v>30</v>
      </c>
      <c r="D6" s="92"/>
      <c r="F6" s="407"/>
      <c r="G6" s="405"/>
      <c r="H6" s="406" t="s">
        <v>1606</v>
      </c>
      <c r="I6" s="379" t="s">
        <v>1607</v>
      </c>
      <c r="J6" s="379"/>
      <c r="K6" s="379"/>
      <c r="T6" s="114"/>
      <c r="W6" s="114"/>
      <c r="X6" s="114"/>
      <c r="Y6" s="114"/>
      <c r="Z6" s="114"/>
      <c r="AA6" s="114"/>
      <c r="AB6" s="114"/>
      <c r="AC6" s="114"/>
      <c r="AD6" s="114"/>
      <c r="AE6" s="114"/>
    </row>
    <row r="7" customHeight="1" spans="1:26">
      <c r="A7" s="360"/>
      <c r="B7" s="9" t="s">
        <v>1608</v>
      </c>
      <c r="C7" s="91">
        <v>0.5</v>
      </c>
      <c r="D7" s="92"/>
      <c r="F7" s="407"/>
      <c r="G7" s="405"/>
      <c r="H7" s="408" t="s">
        <v>1609</v>
      </c>
      <c r="I7" s="379"/>
      <c r="J7" s="379"/>
      <c r="K7" s="379"/>
      <c r="T7" s="114"/>
      <c r="W7" s="114"/>
      <c r="X7" s="114"/>
      <c r="Y7" s="114"/>
      <c r="Z7" s="114"/>
    </row>
    <row r="8" customHeight="1" spans="1:29">
      <c r="A8" s="360"/>
      <c r="B8" s="9" t="s">
        <v>1495</v>
      </c>
      <c r="C8" s="91">
        <v>0.5</v>
      </c>
      <c r="D8" s="92" t="s">
        <v>1496</v>
      </c>
      <c r="F8" s="407"/>
      <c r="G8" s="409" t="s">
        <v>1610</v>
      </c>
      <c r="H8" s="406" t="s">
        <v>1611</v>
      </c>
      <c r="I8" s="379" t="s">
        <v>1612</v>
      </c>
      <c r="J8" s="379"/>
      <c r="K8" s="379"/>
      <c r="U8" s="114"/>
      <c r="V8" s="114"/>
      <c r="W8" s="114"/>
      <c r="X8" s="114"/>
      <c r="Y8" s="114"/>
      <c r="Z8" s="114"/>
      <c r="AA8" s="114"/>
      <c r="AB8" s="114"/>
      <c r="AC8" s="114"/>
    </row>
    <row r="9" customHeight="1" spans="1:30">
      <c r="A9" s="360"/>
      <c r="B9" s="9" t="s">
        <v>1613</v>
      </c>
      <c r="C9" s="91">
        <v>0.5</v>
      </c>
      <c r="D9" s="9" t="s">
        <v>1614</v>
      </c>
      <c r="F9" s="407"/>
      <c r="G9" s="410"/>
      <c r="H9" s="406" t="s">
        <v>1615</v>
      </c>
      <c r="I9" s="379" t="s">
        <v>1616</v>
      </c>
      <c r="J9" s="379"/>
      <c r="K9" s="379"/>
      <c r="V9" s="114"/>
      <c r="W9" s="114"/>
      <c r="X9" s="114"/>
      <c r="Y9" s="114"/>
      <c r="Z9" s="114"/>
      <c r="AA9" s="114"/>
      <c r="AB9" s="114"/>
      <c r="AC9" s="114"/>
      <c r="AD9" s="114"/>
    </row>
    <row r="10" customHeight="1" spans="1:23">
      <c r="A10" s="361"/>
      <c r="B10" s="9" t="s">
        <v>1497</v>
      </c>
      <c r="C10" s="91">
        <v>0.1</v>
      </c>
      <c r="D10" s="9" t="s">
        <v>1617</v>
      </c>
      <c r="F10" s="407"/>
      <c r="G10" s="410"/>
      <c r="H10" s="406" t="s">
        <v>1606</v>
      </c>
      <c r="I10" s="379" t="s">
        <v>1618</v>
      </c>
      <c r="J10" s="379"/>
      <c r="K10" s="379"/>
      <c r="U10" s="114"/>
      <c r="V10" s="114"/>
      <c r="W10" s="114"/>
    </row>
    <row r="11" customHeight="1" spans="1:23">
      <c r="A11" s="126" t="s">
        <v>1619</v>
      </c>
      <c r="B11" s="9" t="s">
        <v>1523</v>
      </c>
      <c r="C11" s="97">
        <f>IF(C4="水平",9.8*C5*C10,IF(C4="竖直",9.8*C5*(1+C10),"请选择布局方式"))</f>
        <v>0.147</v>
      </c>
      <c r="D11" s="9" t="s">
        <v>1524</v>
      </c>
      <c r="F11" s="411"/>
      <c r="G11" s="412"/>
      <c r="H11" s="408" t="s">
        <v>1609</v>
      </c>
      <c r="I11" s="379" t="s">
        <v>1620</v>
      </c>
      <c r="J11" s="379"/>
      <c r="K11" s="379"/>
      <c r="U11" s="114"/>
      <c r="V11" s="114"/>
      <c r="W11" s="114"/>
    </row>
    <row r="12" customHeight="1" spans="1:23">
      <c r="A12" s="122"/>
      <c r="B12" s="9" t="s">
        <v>1525</v>
      </c>
      <c r="C12" s="128">
        <f>C11/C9</f>
        <v>0.294</v>
      </c>
      <c r="D12" s="9" t="s">
        <v>1621</v>
      </c>
      <c r="F12" s="413" t="s">
        <v>1622</v>
      </c>
      <c r="G12" s="405" t="s">
        <v>1623</v>
      </c>
      <c r="H12" s="408" t="s">
        <v>1624</v>
      </c>
      <c r="I12" s="379" t="s">
        <v>1625</v>
      </c>
      <c r="J12" s="379"/>
      <c r="K12" s="379"/>
      <c r="Q12" s="114"/>
      <c r="U12" s="114"/>
      <c r="V12" s="114"/>
      <c r="W12" s="114"/>
    </row>
    <row r="13" customHeight="1" spans="1:23">
      <c r="A13" s="122"/>
      <c r="B13" s="9" t="s">
        <v>1626</v>
      </c>
      <c r="C13" s="104">
        <f>SQRT(4/0.84*C12/PI()/C8)</f>
        <v>0.94406974388263</v>
      </c>
      <c r="D13" s="9" t="s">
        <v>1627</v>
      </c>
      <c r="F13" s="413"/>
      <c r="G13" s="405"/>
      <c r="H13" s="408" t="s">
        <v>1628</v>
      </c>
      <c r="I13" s="379" t="s">
        <v>1629</v>
      </c>
      <c r="J13" s="379"/>
      <c r="K13" s="379"/>
      <c r="U13" s="114"/>
      <c r="V13" s="114"/>
      <c r="W13" s="114"/>
    </row>
    <row r="14" customHeight="1" spans="1:23">
      <c r="A14" s="122"/>
      <c r="B14" s="9" t="s">
        <v>1630</v>
      </c>
      <c r="C14" s="104">
        <f>SQRT(0.5*4/0.64*C12/PI()/C8)</f>
        <v>0.764783901414455</v>
      </c>
      <c r="D14" s="9" t="s">
        <v>1631</v>
      </c>
      <c r="F14" s="413"/>
      <c r="G14" s="405"/>
      <c r="H14" s="408" t="s">
        <v>1632</v>
      </c>
      <c r="I14" s="379"/>
      <c r="J14" s="379"/>
      <c r="K14" s="379"/>
      <c r="U14" s="114"/>
      <c r="V14" s="114"/>
      <c r="W14" s="114"/>
    </row>
    <row r="15" customHeight="1" spans="1:24">
      <c r="A15" s="100" t="s">
        <v>1633</v>
      </c>
      <c r="B15" s="9" t="s">
        <v>1634</v>
      </c>
      <c r="C15" s="97">
        <f>9.8*C5</f>
        <v>1.47</v>
      </c>
      <c r="D15" s="9" t="s">
        <v>1635</v>
      </c>
      <c r="F15" s="413"/>
      <c r="G15" s="405"/>
      <c r="H15" s="408" t="s">
        <v>1636</v>
      </c>
      <c r="I15" s="379"/>
      <c r="J15" s="379"/>
      <c r="K15" s="420"/>
      <c r="L15" s="421"/>
      <c r="M15" s="422"/>
      <c r="N15" s="1"/>
      <c r="U15" s="114"/>
      <c r="V15" s="114"/>
      <c r="W15" s="114"/>
      <c r="X15" s="114"/>
    </row>
    <row r="16" customHeight="1" spans="1:22">
      <c r="A16" s="101"/>
      <c r="B16" s="9" t="s">
        <v>1637</v>
      </c>
      <c r="C16" s="97">
        <f>C6/C7</f>
        <v>60</v>
      </c>
      <c r="D16" s="9"/>
      <c r="F16" s="413"/>
      <c r="G16" s="405"/>
      <c r="H16" s="408" t="s">
        <v>1638</v>
      </c>
      <c r="I16" s="379"/>
      <c r="J16" s="379"/>
      <c r="K16" s="420"/>
      <c r="L16" s="423"/>
      <c r="M16" s="146"/>
      <c r="N16" s="1"/>
      <c r="O16" s="114"/>
      <c r="U16" s="114"/>
      <c r="V16" s="114"/>
    </row>
    <row r="17" customHeight="1" spans="1:24">
      <c r="A17" s="101"/>
      <c r="B17" s="9" t="s">
        <v>1639</v>
      </c>
      <c r="C17" s="226">
        <v>40</v>
      </c>
      <c r="D17" s="9"/>
      <c r="F17" s="1"/>
      <c r="G17" s="1"/>
      <c r="H17" s="1"/>
      <c r="U17" s="114"/>
      <c r="V17" s="114"/>
      <c r="W17" s="114"/>
      <c r="X17" s="114"/>
    </row>
    <row r="18" customHeight="1" spans="1:24">
      <c r="A18" s="101"/>
      <c r="B18" s="9" t="s">
        <v>1640</v>
      </c>
      <c r="C18" s="384">
        <v>50</v>
      </c>
      <c r="D18" s="92"/>
      <c r="F18" s="1" t="s">
        <v>1641</v>
      </c>
      <c r="G18" s="1"/>
      <c r="H18" s="1"/>
      <c r="I18" s="1"/>
      <c r="J18" s="1"/>
      <c r="K18" s="1"/>
      <c r="L18" s="1"/>
      <c r="M18" s="1"/>
      <c r="U18" s="114"/>
      <c r="V18" s="114"/>
      <c r="W18" s="114"/>
      <c r="X18" s="114"/>
    </row>
    <row r="19" customHeight="1" spans="1:24">
      <c r="A19" s="101"/>
      <c r="B19" s="92" t="s">
        <v>1642</v>
      </c>
      <c r="C19" s="386" t="s">
        <v>1643</v>
      </c>
      <c r="D19" s="90" t="s">
        <v>1644</v>
      </c>
      <c r="F19" s="1"/>
      <c r="G19" s="1"/>
      <c r="H19" s="1"/>
      <c r="I19" s="1"/>
      <c r="J19" s="1"/>
      <c r="K19" s="1"/>
      <c r="L19" s="1"/>
      <c r="M19" s="1"/>
      <c r="U19" s="114"/>
      <c r="V19" s="114"/>
      <c r="W19" s="114"/>
      <c r="X19" s="114"/>
    </row>
    <row r="20" customHeight="1" spans="1:22">
      <c r="A20" s="101"/>
      <c r="B20" s="92" t="s">
        <v>1645</v>
      </c>
      <c r="C20" s="355">
        <v>20</v>
      </c>
      <c r="D20" s="101"/>
      <c r="F20" s="1"/>
      <c r="G20" s="1"/>
      <c r="H20" s="1"/>
      <c r="I20" s="1"/>
      <c r="J20" s="1"/>
      <c r="K20" s="1"/>
      <c r="L20" s="1"/>
      <c r="M20" s="1"/>
      <c r="U20" s="114"/>
      <c r="V20" s="114"/>
    </row>
    <row r="21" customHeight="1" spans="1:22">
      <c r="A21" s="101"/>
      <c r="B21" s="92" t="s">
        <v>1646</v>
      </c>
      <c r="C21" s="355">
        <v>60</v>
      </c>
      <c r="D21" s="110"/>
      <c r="F21" s="1"/>
      <c r="G21" s="1"/>
      <c r="H21" s="1"/>
      <c r="I21" s="1"/>
      <c r="J21" s="1"/>
      <c r="K21" s="1"/>
      <c r="L21" s="1"/>
      <c r="M21" s="1"/>
      <c r="U21" s="114"/>
      <c r="V21" s="114"/>
    </row>
    <row r="22" customHeight="1" spans="1:22">
      <c r="A22" s="110"/>
      <c r="B22" s="92" t="s">
        <v>1235</v>
      </c>
      <c r="C22" s="387" t="str">
        <f>LEFT(C19,3)&amp;" "&amp;C20&amp;"x"&amp;C21</f>
        <v>HLH 20x60</v>
      </c>
      <c r="D22" s="388"/>
      <c r="F22" s="1"/>
      <c r="G22" s="1"/>
      <c r="H22" s="1"/>
      <c r="I22" s="1"/>
      <c r="J22" s="1"/>
      <c r="K22" s="1"/>
      <c r="L22" s="1"/>
      <c r="M22" s="1"/>
      <c r="O22" s="1"/>
      <c r="P22" s="106"/>
      <c r="U22" s="114"/>
      <c r="V22" s="114"/>
    </row>
    <row r="23" customHeight="1" spans="1:25">
      <c r="A23" s="106" t="s">
        <v>1647</v>
      </c>
      <c r="F23" s="1"/>
      <c r="G23" s="1"/>
      <c r="H23" s="1"/>
      <c r="I23" s="1"/>
      <c r="J23" s="1"/>
      <c r="K23" s="1"/>
      <c r="L23" s="1"/>
      <c r="M23" s="1"/>
      <c r="V23" s="114"/>
      <c r="W23" s="1"/>
      <c r="X23" s="1"/>
      <c r="Y23" s="1"/>
    </row>
    <row r="24" customHeight="1" spans="6:25">
      <c r="F24" s="1"/>
      <c r="G24" s="1"/>
      <c r="H24" s="1"/>
      <c r="I24" s="1"/>
      <c r="J24" s="1"/>
      <c r="K24" s="1"/>
      <c r="L24" s="1"/>
      <c r="M24" s="1"/>
      <c r="Y24" s="1"/>
    </row>
    <row r="25" customHeight="1" spans="6:25">
      <c r="F25" s="1"/>
      <c r="G25" s="1"/>
      <c r="H25" s="1"/>
      <c r="I25" s="1"/>
      <c r="J25" s="1"/>
      <c r="K25" s="1"/>
      <c r="L25" s="1"/>
      <c r="M25" s="1"/>
      <c r="P25" s="1"/>
      <c r="Y25" s="1"/>
    </row>
    <row r="26" customHeight="1" spans="6:28">
      <c r="F26" s="106"/>
      <c r="G26" s="1"/>
      <c r="H26" s="1"/>
      <c r="I26" s="1"/>
      <c r="J26" s="1"/>
      <c r="K26" s="1"/>
      <c r="L26" s="1"/>
      <c r="M26" s="1"/>
      <c r="AB26" s="1"/>
    </row>
    <row r="27" customHeight="1" spans="6:28">
      <c r="F27" s="1"/>
      <c r="G27" s="1"/>
      <c r="H27" s="1"/>
      <c r="I27" s="1"/>
      <c r="J27" s="1"/>
      <c r="K27" s="1"/>
      <c r="L27" s="1"/>
      <c r="M27" s="1"/>
      <c r="AB27" s="1"/>
    </row>
    <row r="28" customHeight="1" spans="6:28">
      <c r="F28" s="1"/>
      <c r="G28" s="1"/>
      <c r="H28" s="1"/>
      <c r="I28" s="1"/>
      <c r="J28" s="1"/>
      <c r="K28" s="1"/>
      <c r="L28" s="1"/>
      <c r="M28" s="1"/>
      <c r="AB28" s="1"/>
    </row>
    <row r="29" customHeight="1" spans="1:28">
      <c r="A29" s="106"/>
      <c r="F29" s="1"/>
      <c r="G29" s="1"/>
      <c r="H29" s="1"/>
      <c r="I29" s="1"/>
      <c r="J29" s="1"/>
      <c r="K29" s="1"/>
      <c r="L29" s="1"/>
      <c r="M29" s="1"/>
      <c r="AB29" s="1"/>
    </row>
    <row r="30" customHeight="1" spans="6:28">
      <c r="F30" s="1"/>
      <c r="G30" s="1"/>
      <c r="H30" s="1"/>
      <c r="I30" s="1"/>
      <c r="J30" s="1"/>
      <c r="K30" s="1"/>
      <c r="L30" s="1"/>
      <c r="M30" s="1"/>
      <c r="AB30" s="1"/>
    </row>
    <row r="31" customHeight="1" spans="6:28">
      <c r="F31" s="1"/>
      <c r="G31" s="1"/>
      <c r="H31" s="1"/>
      <c r="I31" s="1"/>
      <c r="J31" s="1"/>
      <c r="K31" s="1"/>
      <c r="L31" s="1"/>
      <c r="M31" s="1"/>
      <c r="AB31" s="1"/>
    </row>
    <row r="32" customHeight="1" spans="6:29">
      <c r="F32" s="1"/>
      <c r="G32" s="1"/>
      <c r="H32" s="1"/>
      <c r="I32" s="1"/>
      <c r="J32" s="1"/>
      <c r="K32" s="1"/>
      <c r="L32" s="1"/>
      <c r="M32" s="1"/>
      <c r="AC32" s="1"/>
    </row>
    <row r="33" customHeight="1" spans="6:29">
      <c r="F33" s="1"/>
      <c r="G33" s="1"/>
      <c r="H33" s="1"/>
      <c r="I33" s="1"/>
      <c r="J33" s="1"/>
      <c r="K33" s="1"/>
      <c r="L33" s="1"/>
      <c r="M33" s="1"/>
      <c r="AC33" s="1"/>
    </row>
    <row r="34" customHeight="1" spans="6:29">
      <c r="F34" s="1"/>
      <c r="G34" s="1"/>
      <c r="H34" s="1"/>
      <c r="I34" s="1"/>
      <c r="J34" s="1"/>
      <c r="K34" s="1"/>
      <c r="L34" s="1"/>
      <c r="M34" s="1"/>
      <c r="Q34" s="1"/>
      <c r="AC34" s="1"/>
    </row>
    <row r="35" customHeight="1" spans="6:29">
      <c r="F35" s="1"/>
      <c r="G35" s="1"/>
      <c r="H35" s="1"/>
      <c r="I35" s="1"/>
      <c r="J35" s="1"/>
      <c r="K35" s="1"/>
      <c r="L35" s="1"/>
      <c r="M35" s="1"/>
      <c r="AC35" s="1"/>
    </row>
    <row r="36" customHeight="1" spans="6:29">
      <c r="F36" s="1"/>
      <c r="G36" s="1"/>
      <c r="H36" s="1"/>
      <c r="I36" s="1"/>
      <c r="J36" s="1"/>
      <c r="K36" s="1"/>
      <c r="L36" s="1"/>
      <c r="M36" s="1"/>
      <c r="AC36" s="1"/>
    </row>
    <row r="37" customHeight="1" spans="6:29">
      <c r="F37" s="1"/>
      <c r="G37" s="1"/>
      <c r="H37" s="1"/>
      <c r="I37" s="1"/>
      <c r="J37" s="1"/>
      <c r="K37" s="1"/>
      <c r="L37" s="1"/>
      <c r="M37" s="1"/>
      <c r="AC37" s="1"/>
    </row>
    <row r="38" customHeight="1" spans="6:29">
      <c r="F38" s="1"/>
      <c r="G38" s="1"/>
      <c r="H38" s="1"/>
      <c r="I38" s="1"/>
      <c r="J38" s="1"/>
      <c r="K38" s="1"/>
      <c r="L38" s="1"/>
      <c r="M38" s="1"/>
      <c r="AC38" s="1"/>
    </row>
    <row r="39" customHeight="1" spans="6:28">
      <c r="F39" s="1"/>
      <c r="G39" s="1"/>
      <c r="H39" s="1"/>
      <c r="I39" s="1"/>
      <c r="J39" s="1"/>
      <c r="K39" s="1"/>
      <c r="L39" s="1"/>
      <c r="M39" s="1"/>
      <c r="AB39" s="1"/>
    </row>
    <row r="40" customHeight="1" spans="6:28">
      <c r="F40" s="1"/>
      <c r="G40" s="1"/>
      <c r="H40" s="1"/>
      <c r="I40" s="1"/>
      <c r="J40" s="1"/>
      <c r="K40" s="1"/>
      <c r="L40" s="1"/>
      <c r="M40" s="1"/>
      <c r="AB40" s="1"/>
    </row>
    <row r="41" customHeight="1" spans="6:28">
      <c r="F41" s="1"/>
      <c r="G41" s="1"/>
      <c r="H41" s="1"/>
      <c r="I41" s="1"/>
      <c r="J41" s="1"/>
      <c r="K41" s="1"/>
      <c r="L41" s="1"/>
      <c r="M41" s="1"/>
      <c r="AB41" s="1"/>
    </row>
    <row r="42" customHeight="1" spans="6:28">
      <c r="F42" s="1"/>
      <c r="G42" s="1"/>
      <c r="H42" s="1"/>
      <c r="I42" s="1"/>
      <c r="J42" s="1"/>
      <c r="K42" s="1"/>
      <c r="L42" s="1"/>
      <c r="M42" s="1"/>
      <c r="AB42" s="1"/>
    </row>
    <row r="43" customHeight="1" spans="6:28">
      <c r="F43" s="1"/>
      <c r="G43" s="1"/>
      <c r="H43" s="1"/>
      <c r="I43" s="1"/>
      <c r="J43" s="1"/>
      <c r="K43" s="1"/>
      <c r="L43" s="1"/>
      <c r="M43" s="1"/>
      <c r="AB43" s="1"/>
    </row>
    <row r="44" customHeight="1" spans="6:28">
      <c r="F44" s="1"/>
      <c r="G44" s="1"/>
      <c r="H44" s="1"/>
      <c r="I44" s="1"/>
      <c r="J44" s="1"/>
      <c r="K44" s="1"/>
      <c r="L44" s="1"/>
      <c r="M44" s="1"/>
      <c r="AB44" s="1"/>
    </row>
    <row r="45" customHeight="1" spans="6:28">
      <c r="F45" s="1"/>
      <c r="G45" s="1"/>
      <c r="H45" s="1"/>
      <c r="K45" s="209"/>
      <c r="AB45" s="1"/>
    </row>
    <row r="46" customHeight="1" spans="6:28">
      <c r="F46" s="1"/>
      <c r="G46" s="1"/>
      <c r="H46" s="1"/>
      <c r="K46" s="209"/>
      <c r="AB46" s="1"/>
    </row>
    <row r="47" customHeight="1" spans="6:29">
      <c r="F47" s="1"/>
      <c r="G47" s="1"/>
      <c r="H47" s="1"/>
      <c r="K47" s="209"/>
      <c r="AC47" s="1"/>
    </row>
    <row r="48" customHeight="1" spans="6:29">
      <c r="F48" s="1"/>
      <c r="G48" s="1"/>
      <c r="H48" s="1"/>
      <c r="I48" s="1"/>
      <c r="J48" s="1"/>
      <c r="K48" s="1"/>
      <c r="L48" s="1"/>
      <c r="M48" s="1"/>
      <c r="P48" s="209"/>
      <c r="AC48" s="1"/>
    </row>
    <row r="49" customHeight="1" spans="6:29">
      <c r="F49" s="1"/>
      <c r="G49" s="1"/>
      <c r="H49" s="1"/>
      <c r="I49" s="1"/>
      <c r="J49" s="1"/>
      <c r="K49" s="1"/>
      <c r="L49" s="1"/>
      <c r="M49" s="1"/>
      <c r="P49" s="209"/>
      <c r="AC49" s="1"/>
    </row>
    <row r="50" customHeight="1" spans="6:29">
      <c r="F50" s="1"/>
      <c r="G50" s="1"/>
      <c r="H50" s="1"/>
      <c r="I50" s="1"/>
      <c r="J50" s="1"/>
      <c r="K50" s="1"/>
      <c r="L50" s="1"/>
      <c r="M50" s="1"/>
      <c r="P50" s="209"/>
      <c r="AC50" s="1"/>
    </row>
    <row r="51" customHeight="1" spans="6:29">
      <c r="F51" s="1"/>
      <c r="G51" s="1"/>
      <c r="H51" s="1"/>
      <c r="I51" s="1"/>
      <c r="J51" s="1"/>
      <c r="K51" s="1"/>
      <c r="L51" s="1"/>
      <c r="M51" s="1"/>
      <c r="AC51" s="1"/>
    </row>
    <row r="52" customHeight="1" spans="1:29">
      <c r="A52" s="392" t="s">
        <v>1648</v>
      </c>
      <c r="B52" s="289"/>
      <c r="C52" s="289"/>
      <c r="D52" s="393"/>
      <c r="F52" s="1"/>
      <c r="G52" s="1"/>
      <c r="H52" s="1"/>
      <c r="I52" s="1"/>
      <c r="J52" s="1"/>
      <c r="K52" s="1"/>
      <c r="L52" s="1"/>
      <c r="M52" s="1"/>
      <c r="AC52" s="1"/>
    </row>
    <row r="53" customHeight="1" spans="1:29">
      <c r="A53" s="394"/>
      <c r="B53" s="290"/>
      <c r="C53" s="290"/>
      <c r="D53" s="395"/>
      <c r="F53" s="1"/>
      <c r="G53" s="1"/>
      <c r="H53" s="1"/>
      <c r="I53" s="1"/>
      <c r="J53" s="1"/>
      <c r="K53" s="1"/>
      <c r="L53" s="1"/>
      <c r="M53" s="1"/>
      <c r="AC53" s="1"/>
    </row>
    <row r="54" customHeight="1" spans="1:29">
      <c r="A54" s="394"/>
      <c r="B54" s="290"/>
      <c r="C54" s="290"/>
      <c r="D54" s="395"/>
      <c r="F54" s="1"/>
      <c r="G54" s="1"/>
      <c r="H54" s="1"/>
      <c r="I54" s="1"/>
      <c r="J54" s="1"/>
      <c r="K54" s="1"/>
      <c r="L54" s="1"/>
      <c r="M54" s="1"/>
      <c r="AC54" s="1"/>
    </row>
    <row r="55" customHeight="1" spans="1:29">
      <c r="A55" s="414"/>
      <c r="B55" s="415"/>
      <c r="C55" s="415"/>
      <c r="D55" s="416"/>
      <c r="F55" s="1"/>
      <c r="G55" s="1"/>
      <c r="H55" s="1"/>
      <c r="I55" s="1"/>
      <c r="J55" s="1"/>
      <c r="K55" s="1"/>
      <c r="L55" s="1"/>
      <c r="M55" s="1"/>
      <c r="AC55" s="1"/>
    </row>
    <row r="56" customHeight="1" spans="1:29">
      <c r="A56" s="301" t="s">
        <v>1649</v>
      </c>
      <c r="B56" s="301"/>
      <c r="C56" s="301"/>
      <c r="D56" s="301"/>
      <c r="F56" s="1"/>
      <c r="G56" s="1"/>
      <c r="H56" s="1"/>
      <c r="I56" s="1"/>
      <c r="J56" s="1"/>
      <c r="K56" s="1"/>
      <c r="L56" s="1"/>
      <c r="M56" s="1"/>
      <c r="AC56" s="1"/>
    </row>
    <row r="57" customHeight="1" spans="1:29">
      <c r="A57" s="301"/>
      <c r="B57" s="301"/>
      <c r="C57" s="301"/>
      <c r="D57" s="301"/>
      <c r="F57" s="1"/>
      <c r="G57" s="1"/>
      <c r="H57" s="1"/>
      <c r="I57" s="1"/>
      <c r="J57" s="1"/>
      <c r="K57" s="1"/>
      <c r="L57" s="1"/>
      <c r="M57" s="1"/>
      <c r="AC57" s="1"/>
    </row>
    <row r="58" customHeight="1" spans="1:29">
      <c r="A58" s="301"/>
      <c r="B58" s="301"/>
      <c r="C58" s="301"/>
      <c r="D58" s="301"/>
      <c r="F58" s="1"/>
      <c r="G58" s="1"/>
      <c r="H58" s="1"/>
      <c r="I58" s="1"/>
      <c r="J58" s="1"/>
      <c r="K58" s="1"/>
      <c r="L58" s="1"/>
      <c r="M58" s="1"/>
      <c r="AC58" s="1"/>
    </row>
    <row r="59" customHeight="1" spans="1:29">
      <c r="A59" s="301"/>
      <c r="B59" s="301"/>
      <c r="C59" s="301"/>
      <c r="D59" s="301"/>
      <c r="F59" s="1"/>
      <c r="G59" s="1"/>
      <c r="H59" s="1"/>
      <c r="I59" s="1"/>
      <c r="J59" s="1"/>
      <c r="K59" s="1"/>
      <c r="L59" s="1"/>
      <c r="M59" s="1"/>
      <c r="AC59" s="1"/>
    </row>
    <row r="60" customHeight="1" spans="1:24">
      <c r="A60" s="106"/>
      <c r="B60" s="137"/>
      <c r="C60" s="137"/>
      <c r="D60" s="137"/>
      <c r="F60" s="1"/>
      <c r="G60" s="1"/>
      <c r="H60" s="1"/>
      <c r="I60" s="1"/>
      <c r="J60" s="1"/>
      <c r="K60" s="1"/>
      <c r="L60" s="1"/>
      <c r="M60" s="1"/>
      <c r="X60" s="1"/>
    </row>
    <row r="61" customHeight="1" spans="6:24">
      <c r="F61" s="1"/>
      <c r="G61" s="1"/>
      <c r="H61" s="1"/>
      <c r="I61" s="1"/>
      <c r="J61" s="1"/>
      <c r="K61" s="1"/>
      <c r="L61" s="1"/>
      <c r="M61" s="1"/>
      <c r="X61" s="1"/>
    </row>
    <row r="62" customHeight="1" spans="6:24">
      <c r="F62" s="1"/>
      <c r="G62" s="1"/>
      <c r="H62" s="1"/>
      <c r="I62" s="1"/>
      <c r="J62" s="1"/>
      <c r="K62" s="1"/>
      <c r="L62" s="1"/>
      <c r="M62" s="1"/>
      <c r="X62" s="1"/>
    </row>
    <row r="63" customHeight="1" spans="6:29">
      <c r="F63" s="1"/>
      <c r="G63" s="1"/>
      <c r="H63" s="1"/>
      <c r="I63" s="1"/>
      <c r="J63" s="1"/>
      <c r="K63" s="1"/>
      <c r="L63" s="1"/>
      <c r="M63" s="1"/>
      <c r="AC63" s="1"/>
    </row>
    <row r="64" customHeight="1" spans="6:29">
      <c r="F64" s="1"/>
      <c r="G64" s="1"/>
      <c r="H64" s="1"/>
      <c r="I64" s="1"/>
      <c r="J64" s="1"/>
      <c r="K64" s="1"/>
      <c r="L64" s="1"/>
      <c r="M64" s="1"/>
      <c r="AC64" s="1"/>
    </row>
    <row r="65" customHeight="1" spans="6:29">
      <c r="F65" s="1"/>
      <c r="G65" s="1"/>
      <c r="H65" s="1"/>
      <c r="I65" s="1"/>
      <c r="J65" s="1"/>
      <c r="K65" s="1"/>
      <c r="L65" s="1"/>
      <c r="M65" s="1"/>
      <c r="AC65" s="1"/>
    </row>
    <row r="66" customHeight="1" spans="6:29">
      <c r="F66" s="1"/>
      <c r="G66" s="1"/>
      <c r="H66" s="1"/>
      <c r="I66" s="1"/>
      <c r="J66" s="1"/>
      <c r="K66" s="1"/>
      <c r="L66" s="1"/>
      <c r="M66" s="1"/>
      <c r="AC66" s="1"/>
    </row>
    <row r="67" customHeight="1" spans="6:29">
      <c r="F67" s="1"/>
      <c r="G67" s="1"/>
      <c r="H67" s="1"/>
      <c r="I67" s="1"/>
      <c r="J67" s="1"/>
      <c r="K67" s="1"/>
      <c r="L67" s="1"/>
      <c r="M67" s="1"/>
      <c r="AC67" s="1"/>
    </row>
    <row r="68" customHeight="1" spans="6:29">
      <c r="F68" s="1"/>
      <c r="G68" s="1"/>
      <c r="H68" s="1"/>
      <c r="I68" s="1"/>
      <c r="J68" s="1"/>
      <c r="K68" s="1"/>
      <c r="AC68" s="1"/>
    </row>
    <row r="69" customHeight="1" spans="6:29">
      <c r="F69" s="1"/>
      <c r="G69" s="1"/>
      <c r="H69" s="1"/>
      <c r="I69" s="1"/>
      <c r="J69" s="1"/>
      <c r="K69" s="1"/>
      <c r="AC69" s="1"/>
    </row>
    <row r="70" customHeight="1" spans="6:29">
      <c r="F70" s="1"/>
      <c r="G70" s="1"/>
      <c r="H70" s="1"/>
      <c r="I70" s="1"/>
      <c r="J70" s="1"/>
      <c r="K70" s="1"/>
      <c r="AC70" s="1"/>
    </row>
    <row r="71" customHeight="1" spans="11:29">
      <c r="K71" s="1"/>
      <c r="AC71" s="1"/>
    </row>
    <row r="72" customHeight="1" spans="29:29">
      <c r="AC72" s="1"/>
    </row>
    <row r="73" customHeight="1" spans="29:29">
      <c r="AC73" s="1"/>
    </row>
    <row r="74" customHeight="1" spans="29:29">
      <c r="AC74" s="1"/>
    </row>
    <row r="75" customHeight="1" spans="29:29">
      <c r="AC75" s="1"/>
    </row>
    <row r="76" customHeight="1" spans="29:29">
      <c r="AC76" s="1"/>
    </row>
    <row r="77" customHeight="1" spans="29:29">
      <c r="AC77" s="1"/>
    </row>
    <row r="78" customHeight="1" spans="29:29">
      <c r="AC78" s="1"/>
    </row>
    <row r="79" customHeight="1" spans="29:29">
      <c r="AC79" s="1"/>
    </row>
    <row r="80" customHeight="1" spans="29:29">
      <c r="AC80" s="1"/>
    </row>
  </sheetData>
  <customSheetViews>
    <customSheetView guid="{27B96A40-A6B2-43F7-A93C-713F4207CB2A}">
      <selection activeCell="D15" sqref="D15"/>
      <pageMargins left="0.7" right="0.7" top="0.75" bottom="0.75" header="0.3" footer="0.3"/>
      <headerFooter/>
    </customSheetView>
  </customSheetViews>
  <mergeCells count="22">
    <mergeCell ref="A1:D1"/>
    <mergeCell ref="I3:K3"/>
    <mergeCell ref="I4:K4"/>
    <mergeCell ref="I5:K5"/>
    <mergeCell ref="I8:K8"/>
    <mergeCell ref="I9:K9"/>
    <mergeCell ref="I10:K10"/>
    <mergeCell ref="I11:K11"/>
    <mergeCell ref="I12:K12"/>
    <mergeCell ref="C22:D22"/>
    <mergeCell ref="A4:A10"/>
    <mergeCell ref="A15:A22"/>
    <mergeCell ref="D19:D21"/>
    <mergeCell ref="F4:F11"/>
    <mergeCell ref="F12:F16"/>
    <mergeCell ref="G4:G7"/>
    <mergeCell ref="G8:G11"/>
    <mergeCell ref="G12:G16"/>
    <mergeCell ref="A52:D55"/>
    <mergeCell ref="A56:D59"/>
    <mergeCell ref="I13:K16"/>
    <mergeCell ref="I6:K7"/>
  </mergeCells>
  <dataValidations count="2">
    <dataValidation type="list" allowBlank="1" showInputMessage="1" showErrorMessage="1" prompt="请选择" sqref="C19">
      <formula1>"HLH精密单轴,HLF超薄单轴,STW普通双轴"</formula1>
    </dataValidation>
    <dataValidation type="list" allowBlank="1" showInputMessage="1" showErrorMessage="1" prompt="请选择" sqref="C4">
      <formula1>"水平,竖直"</formula1>
    </dataValidation>
  </dataValidations>
  <pageMargins left="0.7" right="0.7" top="0.75" bottom="0.75" header="0.3" footer="0.3"/>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73"/>
  <sheetViews>
    <sheetView workbookViewId="0">
      <selection activeCell="A54" sqref="A54:D57"/>
    </sheetView>
  </sheetViews>
  <sheetFormatPr defaultColWidth="15.625" defaultRowHeight="20.1" customHeight="1"/>
  <cols>
    <col min="1" max="1" width="14.875" style="82" customWidth="1"/>
    <col min="2" max="2" width="23.75" style="82" customWidth="1"/>
    <col min="3" max="3" width="13.875" style="83" customWidth="1"/>
    <col min="4" max="4" width="18" style="82" customWidth="1"/>
    <col min="5" max="5" width="7.125" style="82" customWidth="1"/>
    <col min="6" max="10" width="10.625" style="82" customWidth="1"/>
    <col min="11" max="11" width="9.5" style="82" customWidth="1"/>
    <col min="12" max="12" width="8.75" style="82" customWidth="1"/>
    <col min="13" max="13" width="10.75" style="82" customWidth="1"/>
    <col min="14" max="20" width="10.625" style="82" customWidth="1"/>
    <col min="21" max="27" width="8.625" style="82" customWidth="1"/>
    <col min="28" max="16384" width="15.625" style="82"/>
  </cols>
  <sheetData>
    <row r="1" ht="21.95" customHeight="1" spans="1:6">
      <c r="A1" s="358" t="s">
        <v>1650</v>
      </c>
      <c r="B1" s="125"/>
      <c r="C1" s="125"/>
      <c r="D1" s="125"/>
      <c r="F1" s="373"/>
    </row>
    <row r="2" customHeight="1" spans="1:11">
      <c r="A2" s="106" t="s">
        <v>1489</v>
      </c>
      <c r="F2" s="1" t="s">
        <v>1651</v>
      </c>
      <c r="G2" s="1"/>
      <c r="H2" s="1"/>
      <c r="K2" s="82" t="s">
        <v>1652</v>
      </c>
    </row>
    <row r="3" customHeight="1" spans="1:30">
      <c r="A3" s="9" t="s">
        <v>269</v>
      </c>
      <c r="B3" s="9" t="s">
        <v>270</v>
      </c>
      <c r="C3" s="32" t="s">
        <v>271</v>
      </c>
      <c r="D3" s="9" t="s">
        <v>272</v>
      </c>
      <c r="F3" s="1"/>
      <c r="G3" s="1"/>
      <c r="H3" s="1"/>
      <c r="R3" s="114"/>
      <c r="S3" s="114"/>
      <c r="T3" s="114"/>
      <c r="V3" s="115"/>
      <c r="W3" s="115"/>
      <c r="X3" s="115"/>
      <c r="Y3" s="115"/>
      <c r="Z3" s="115"/>
      <c r="AA3" s="115"/>
      <c r="AB3" s="115"/>
      <c r="AC3" s="115"/>
      <c r="AD3" s="115"/>
    </row>
    <row r="4" customHeight="1" spans="1:30">
      <c r="A4" s="359" t="s">
        <v>1083</v>
      </c>
      <c r="B4" s="9" t="s">
        <v>1594</v>
      </c>
      <c r="C4" s="151" t="s">
        <v>1653</v>
      </c>
      <c r="D4" s="9"/>
      <c r="F4" s="1"/>
      <c r="G4" s="1"/>
      <c r="H4" s="1"/>
      <c r="T4" s="114"/>
      <c r="V4" s="115"/>
      <c r="W4" s="115"/>
      <c r="X4" s="115"/>
      <c r="Y4" s="115"/>
      <c r="Z4" s="115"/>
      <c r="AA4" s="115"/>
      <c r="AB4" s="115"/>
      <c r="AC4" s="115"/>
      <c r="AD4" s="115"/>
    </row>
    <row r="5" customHeight="1" spans="1:31">
      <c r="A5" s="360"/>
      <c r="B5" s="9" t="s">
        <v>1601</v>
      </c>
      <c r="C5" s="91">
        <v>2.5</v>
      </c>
      <c r="D5" s="9"/>
      <c r="F5" s="1"/>
      <c r="G5" s="1"/>
      <c r="H5" s="1"/>
      <c r="T5" s="114"/>
      <c r="W5" s="1"/>
      <c r="X5" s="1"/>
      <c r="Y5" s="1"/>
      <c r="Z5" s="1"/>
      <c r="AA5" s="1"/>
      <c r="AB5" s="1"/>
      <c r="AC5" s="1"/>
      <c r="AD5" s="1"/>
      <c r="AE5" s="1"/>
    </row>
    <row r="6" customHeight="1" spans="1:31">
      <c r="A6" s="360"/>
      <c r="B6" s="9" t="s">
        <v>1605</v>
      </c>
      <c r="C6" s="210">
        <v>90</v>
      </c>
      <c r="D6" s="92"/>
      <c r="F6" s="1"/>
      <c r="G6" s="1"/>
      <c r="H6" s="1"/>
      <c r="T6" s="114"/>
      <c r="W6" s="114"/>
      <c r="X6" s="114"/>
      <c r="Y6" s="114"/>
      <c r="Z6" s="114"/>
      <c r="AA6" s="114"/>
      <c r="AB6" s="114"/>
      <c r="AC6" s="114"/>
      <c r="AD6" s="114"/>
      <c r="AE6" s="114"/>
    </row>
    <row r="7" customHeight="1" spans="1:26">
      <c r="A7" s="360"/>
      <c r="B7" s="9" t="s">
        <v>1608</v>
      </c>
      <c r="C7" s="91">
        <v>0.5</v>
      </c>
      <c r="D7" s="92"/>
      <c r="G7" s="1"/>
      <c r="H7" s="1"/>
      <c r="T7" s="114"/>
      <c r="W7" s="114"/>
      <c r="X7" s="114"/>
      <c r="Y7" s="114"/>
      <c r="Z7" s="114"/>
    </row>
    <row r="8" customHeight="1" spans="1:29">
      <c r="A8" s="360"/>
      <c r="B8" s="9" t="s">
        <v>1495</v>
      </c>
      <c r="C8" s="91">
        <v>0.5</v>
      </c>
      <c r="D8" s="92" t="s">
        <v>1496</v>
      </c>
      <c r="F8" s="1"/>
      <c r="G8" s="1"/>
      <c r="H8" s="1"/>
      <c r="U8" s="114"/>
      <c r="V8" s="114"/>
      <c r="W8" s="114"/>
      <c r="X8" s="114"/>
      <c r="Y8" s="114"/>
      <c r="Z8" s="114"/>
      <c r="AA8" s="114"/>
      <c r="AB8" s="114"/>
      <c r="AC8" s="114"/>
    </row>
    <row r="9" customHeight="1" spans="1:30">
      <c r="A9" s="360"/>
      <c r="B9" s="9" t="s">
        <v>1613</v>
      </c>
      <c r="C9" s="91">
        <v>0.5</v>
      </c>
      <c r="D9" s="9" t="s">
        <v>1614</v>
      </c>
      <c r="F9" s="1"/>
      <c r="G9" s="1"/>
      <c r="H9" s="1"/>
      <c r="V9" s="114"/>
      <c r="W9" s="114"/>
      <c r="X9" s="114"/>
      <c r="Y9" s="114"/>
      <c r="Z9" s="114"/>
      <c r="AA9" s="114"/>
      <c r="AB9" s="114"/>
      <c r="AC9" s="114"/>
      <c r="AD9" s="114"/>
    </row>
    <row r="10" customHeight="1" spans="1:23">
      <c r="A10" s="360"/>
      <c r="B10" s="9" t="s">
        <v>1497</v>
      </c>
      <c r="C10" s="91">
        <v>0.1</v>
      </c>
      <c r="D10" s="9" t="s">
        <v>1617</v>
      </c>
      <c r="F10" s="1"/>
      <c r="G10" s="1"/>
      <c r="H10" s="1"/>
      <c r="U10" s="114"/>
      <c r="V10" s="114"/>
      <c r="W10" s="114"/>
    </row>
    <row r="11" customHeight="1" spans="1:22">
      <c r="A11" s="361"/>
      <c r="B11" s="92" t="s">
        <v>1654</v>
      </c>
      <c r="C11" s="151" t="s">
        <v>1655</v>
      </c>
      <c r="D11" s="9"/>
      <c r="F11" s="82" t="s">
        <v>1656</v>
      </c>
      <c r="K11" s="374" t="s">
        <v>1657</v>
      </c>
      <c r="L11" s="376"/>
      <c r="M11" s="396" t="s">
        <v>1658</v>
      </c>
      <c r="T11" s="114"/>
      <c r="U11" s="114"/>
      <c r="V11" s="114"/>
    </row>
    <row r="12" customHeight="1" spans="1:22">
      <c r="A12" s="100" t="s">
        <v>1619</v>
      </c>
      <c r="B12" s="9" t="s">
        <v>1523</v>
      </c>
      <c r="C12" s="97">
        <f>IF(C4="水平",9.8*C5*C10,IF(C4="竖直",9.8*C5*(1+C10),"请选择布局方式"))</f>
        <v>26.95</v>
      </c>
      <c r="D12" s="9" t="s">
        <v>1524</v>
      </c>
      <c r="F12" s="374" t="s">
        <v>1037</v>
      </c>
      <c r="G12" s="375" t="s">
        <v>1592</v>
      </c>
      <c r="H12" s="376" t="s">
        <v>1593</v>
      </c>
      <c r="I12" s="397"/>
      <c r="J12" s="398"/>
      <c r="K12" s="375" t="s">
        <v>1655</v>
      </c>
      <c r="L12" s="375" t="s">
        <v>1579</v>
      </c>
      <c r="M12" s="399"/>
      <c r="N12" s="400"/>
      <c r="O12" s="114"/>
      <c r="P12" s="114"/>
      <c r="T12" s="114"/>
      <c r="U12" s="114"/>
      <c r="V12" s="114"/>
    </row>
    <row r="13" customHeight="1" spans="1:27">
      <c r="A13" s="101"/>
      <c r="B13" s="9" t="s">
        <v>1525</v>
      </c>
      <c r="C13" s="128">
        <f>C12/C9</f>
        <v>53.9</v>
      </c>
      <c r="D13" s="9" t="s">
        <v>1621</v>
      </c>
      <c r="F13" s="377" t="s">
        <v>1659</v>
      </c>
      <c r="G13" s="378" t="s">
        <v>1599</v>
      </c>
      <c r="H13" s="379" t="s">
        <v>1660</v>
      </c>
      <c r="I13" s="379"/>
      <c r="J13" s="379"/>
      <c r="K13" s="401">
        <v>0.01</v>
      </c>
      <c r="L13" s="401" t="s">
        <v>1452</v>
      </c>
      <c r="M13" s="401">
        <v>4</v>
      </c>
      <c r="AA13" s="1"/>
    </row>
    <row r="14" customHeight="1" spans="1:27">
      <c r="A14" s="101"/>
      <c r="B14" s="9" t="s">
        <v>1626</v>
      </c>
      <c r="C14" s="104">
        <f>SQRT(4/0.84*C13/PI()/C8)</f>
        <v>12.7827647599289</v>
      </c>
      <c r="D14" s="9" t="s">
        <v>1627</v>
      </c>
      <c r="F14" s="380"/>
      <c r="G14" s="381" t="s">
        <v>1661</v>
      </c>
      <c r="H14" s="382" t="s">
        <v>1662</v>
      </c>
      <c r="I14" s="382"/>
      <c r="J14" s="382"/>
      <c r="K14" s="32">
        <v>0.024</v>
      </c>
      <c r="L14" s="32">
        <v>0.048</v>
      </c>
      <c r="M14" s="32">
        <v>8</v>
      </c>
      <c r="AA14" s="1"/>
    </row>
    <row r="15" customHeight="1" spans="1:27">
      <c r="A15" s="101"/>
      <c r="B15" s="9" t="s">
        <v>1663</v>
      </c>
      <c r="C15" s="104">
        <f>SQRT(0.5*4/0.64*C13/PI()/C8)</f>
        <v>10.3552229772306</v>
      </c>
      <c r="D15" s="9" t="s">
        <v>1631</v>
      </c>
      <c r="F15" s="380"/>
      <c r="G15" s="378" t="s">
        <v>1664</v>
      </c>
      <c r="H15" s="379" t="s">
        <v>1665</v>
      </c>
      <c r="I15" s="379"/>
      <c r="J15" s="379"/>
      <c r="K15" s="401">
        <v>0.05</v>
      </c>
      <c r="L15" s="401">
        <v>0.1</v>
      </c>
      <c r="M15" s="401">
        <v>15</v>
      </c>
      <c r="AA15" s="1"/>
    </row>
    <row r="16" customHeight="1" spans="1:27">
      <c r="A16" s="110"/>
      <c r="B16" s="9" t="s">
        <v>1666</v>
      </c>
      <c r="C16" s="104">
        <f>SQRT(0.5*16/3*C13/PI()/C8)</f>
        <v>9.56574523747629</v>
      </c>
      <c r="D16" s="9" t="s">
        <v>1667</v>
      </c>
      <c r="F16" s="380"/>
      <c r="G16" s="381" t="s">
        <v>1668</v>
      </c>
      <c r="H16" s="382" t="s">
        <v>1669</v>
      </c>
      <c r="I16" s="382"/>
      <c r="J16" s="382"/>
      <c r="K16" s="32">
        <v>0.1</v>
      </c>
      <c r="L16" s="32">
        <v>0.2</v>
      </c>
      <c r="M16" s="32">
        <v>30</v>
      </c>
      <c r="AA16" s="1"/>
    </row>
    <row r="17" customHeight="1" spans="1:27">
      <c r="A17" s="100" t="s">
        <v>1670</v>
      </c>
      <c r="B17" s="9" t="s">
        <v>1671</v>
      </c>
      <c r="C17" s="97">
        <f>9.8*C5</f>
        <v>24.5</v>
      </c>
      <c r="D17" s="9" t="s">
        <v>1635</v>
      </c>
      <c r="F17" s="380"/>
      <c r="G17" s="378" t="s">
        <v>1672</v>
      </c>
      <c r="H17" s="379" t="s">
        <v>1673</v>
      </c>
      <c r="I17" s="379"/>
      <c r="J17" s="379"/>
      <c r="K17" s="401">
        <v>0.13</v>
      </c>
      <c r="L17" s="401">
        <v>0.26</v>
      </c>
      <c r="M17" s="402">
        <v>40</v>
      </c>
      <c r="AA17" s="1"/>
    </row>
    <row r="18" customHeight="1" spans="1:27">
      <c r="A18" s="101"/>
      <c r="B18" s="9" t="s">
        <v>1637</v>
      </c>
      <c r="C18" s="97">
        <f>C6/C7</f>
        <v>180</v>
      </c>
      <c r="D18" s="9"/>
      <c r="F18" s="383"/>
      <c r="G18" s="378" t="s">
        <v>1674</v>
      </c>
      <c r="H18" s="379"/>
      <c r="I18" s="379"/>
      <c r="J18" s="379"/>
      <c r="K18" s="401">
        <v>0.22</v>
      </c>
      <c r="L18" s="401">
        <v>0.44</v>
      </c>
      <c r="M18" s="402">
        <v>70</v>
      </c>
      <c r="O18" s="106"/>
      <c r="AA18" s="1"/>
    </row>
    <row r="19" customHeight="1" spans="1:29">
      <c r="A19" s="101"/>
      <c r="B19" s="9" t="s">
        <v>1675</v>
      </c>
      <c r="C19" s="116">
        <f>0.5*C5*(1.4/1000*C18)^2</f>
        <v>0.07938</v>
      </c>
      <c r="D19" s="9" t="s">
        <v>1676</v>
      </c>
      <c r="F19" s="1"/>
      <c r="G19" s="1"/>
      <c r="H19" s="1"/>
      <c r="AC19" s="1"/>
    </row>
    <row r="20" customHeight="1" spans="1:29">
      <c r="A20" s="101"/>
      <c r="B20" s="9" t="s">
        <v>1677</v>
      </c>
      <c r="C20" s="384">
        <v>1</v>
      </c>
      <c r="D20" s="9" t="s">
        <v>1678</v>
      </c>
      <c r="F20" s="1" t="s">
        <v>1679</v>
      </c>
      <c r="G20" s="1"/>
      <c r="H20" s="1"/>
      <c r="I20" s="1"/>
      <c r="J20" s="1"/>
      <c r="K20" s="1"/>
      <c r="L20" s="1"/>
      <c r="M20" s="1"/>
      <c r="AC20" s="1"/>
    </row>
    <row r="21" customHeight="1" spans="1:29">
      <c r="A21" s="101"/>
      <c r="B21" s="9" t="s">
        <v>1680</v>
      </c>
      <c r="C21" s="97">
        <f>IF(OR(C18&lt;300,C18=300),1,IF(OR(C18&lt;500,C18=500),1.6-0.002*C18,"V超限,检查L和t"))</f>
        <v>1</v>
      </c>
      <c r="D21" s="9" t="s">
        <v>1681</v>
      </c>
      <c r="F21" s="1"/>
      <c r="G21" s="1"/>
      <c r="H21" s="1"/>
      <c r="I21" s="1"/>
      <c r="J21" s="1"/>
      <c r="K21" s="1"/>
      <c r="L21" s="1"/>
      <c r="M21" s="1"/>
      <c r="P21" s="1"/>
      <c r="Q21" s="1"/>
      <c r="AC21" s="1"/>
    </row>
    <row r="22" customHeight="1" spans="1:29">
      <c r="A22" s="101"/>
      <c r="B22" s="9" t="s">
        <v>1682</v>
      </c>
      <c r="C22" s="385" t="str">
        <f>"≥"&amp;ROUND(C19/C20,3)</f>
        <v>≥0.079</v>
      </c>
      <c r="D22" s="9"/>
      <c r="F22" s="1"/>
      <c r="G22" s="1"/>
      <c r="H22" s="1"/>
      <c r="I22" s="1"/>
      <c r="J22" s="1"/>
      <c r="K22" s="1"/>
      <c r="L22" s="1"/>
      <c r="M22" s="1"/>
      <c r="AC22" s="1"/>
    </row>
    <row r="23" customHeight="1" spans="1:29">
      <c r="A23" s="101"/>
      <c r="B23" s="9" t="s">
        <v>1683</v>
      </c>
      <c r="C23" s="259" t="str">
        <f>"≥"&amp;ROUND(C17/C20/C21,2)</f>
        <v>≥24.5</v>
      </c>
      <c r="D23" s="9"/>
      <c r="F23" s="1"/>
      <c r="G23" s="1"/>
      <c r="H23" s="1"/>
      <c r="I23" s="1"/>
      <c r="J23" s="1"/>
      <c r="K23" s="1"/>
      <c r="L23" s="1"/>
      <c r="M23" s="1"/>
      <c r="AC23" s="1"/>
    </row>
    <row r="24" customHeight="1" spans="1:29">
      <c r="A24" s="101"/>
      <c r="B24" s="92" t="s">
        <v>1642</v>
      </c>
      <c r="C24" s="386" t="s">
        <v>1684</v>
      </c>
      <c r="D24" s="90" t="s">
        <v>1685</v>
      </c>
      <c r="F24" s="1"/>
      <c r="G24" s="1"/>
      <c r="H24" s="1"/>
      <c r="I24" s="1"/>
      <c r="J24" s="1"/>
      <c r="K24" s="1"/>
      <c r="L24" s="1"/>
      <c r="M24" s="1"/>
      <c r="O24" s="1"/>
      <c r="AC24" s="1"/>
    </row>
    <row r="25" customHeight="1" spans="1:29">
      <c r="A25" s="101"/>
      <c r="B25" s="92" t="s">
        <v>1645</v>
      </c>
      <c r="C25" s="355">
        <v>16</v>
      </c>
      <c r="D25" s="101"/>
      <c r="F25" s="1"/>
      <c r="G25" s="1"/>
      <c r="H25" s="1"/>
      <c r="I25" s="1"/>
      <c r="J25" s="1"/>
      <c r="K25" s="1"/>
      <c r="L25" s="1"/>
      <c r="M25" s="1"/>
      <c r="AC25" s="1"/>
    </row>
    <row r="26" customHeight="1" spans="1:28">
      <c r="A26" s="101"/>
      <c r="B26" s="92" t="s">
        <v>1646</v>
      </c>
      <c r="C26" s="355">
        <v>100</v>
      </c>
      <c r="D26" s="110"/>
      <c r="F26" s="1"/>
      <c r="G26" s="1"/>
      <c r="H26" s="1"/>
      <c r="I26" s="1"/>
      <c r="J26" s="1"/>
      <c r="K26" s="1"/>
      <c r="L26" s="1"/>
      <c r="M26" s="1"/>
      <c r="AB26" s="1"/>
    </row>
    <row r="27" customHeight="1" spans="1:28">
      <c r="A27" s="110"/>
      <c r="B27" s="92" t="s">
        <v>1686</v>
      </c>
      <c r="C27" s="387" t="str">
        <f>LEFT(C24,3)&amp;" "&amp;C25&amp;"x"&amp;C26</f>
        <v>HLQ 16x100</v>
      </c>
      <c r="D27" s="388"/>
      <c r="F27" s="1"/>
      <c r="G27" s="1"/>
      <c r="H27" s="1"/>
      <c r="I27" s="1"/>
      <c r="J27" s="1"/>
      <c r="K27" s="1"/>
      <c r="L27" s="1"/>
      <c r="M27" s="1"/>
      <c r="AB27" s="1"/>
    </row>
    <row r="28" customHeight="1" spans="1:28">
      <c r="A28" s="4" t="s">
        <v>1687</v>
      </c>
      <c r="B28" s="9" t="s">
        <v>1688</v>
      </c>
      <c r="C28" s="91">
        <v>40</v>
      </c>
      <c r="D28" s="389" t="s">
        <v>1689</v>
      </c>
      <c r="F28" s="106"/>
      <c r="G28" s="1"/>
      <c r="H28" s="1"/>
      <c r="I28" s="1"/>
      <c r="J28" s="1"/>
      <c r="K28" s="1"/>
      <c r="L28" s="1"/>
      <c r="M28" s="1"/>
      <c r="AB28" s="1"/>
    </row>
    <row r="29" customHeight="1" spans="1:28">
      <c r="A29" s="4"/>
      <c r="B29" s="9" t="s">
        <v>1690</v>
      </c>
      <c r="C29" s="91">
        <v>18</v>
      </c>
      <c r="D29" s="93"/>
      <c r="F29" s="1"/>
      <c r="G29" s="1"/>
      <c r="H29" s="1"/>
      <c r="I29" s="1"/>
      <c r="J29" s="1"/>
      <c r="K29" s="1"/>
      <c r="L29" s="1"/>
      <c r="M29" s="1"/>
      <c r="AB29" s="1"/>
    </row>
    <row r="30" customHeight="1" spans="1:28">
      <c r="A30" s="4"/>
      <c r="B30" s="9" t="s">
        <v>1691</v>
      </c>
      <c r="C30" s="91">
        <v>0</v>
      </c>
      <c r="D30" s="95"/>
      <c r="F30" s="1"/>
      <c r="G30" s="1"/>
      <c r="H30" s="1"/>
      <c r="I30" s="1"/>
      <c r="J30" s="1"/>
      <c r="K30" s="1"/>
      <c r="L30" s="1"/>
      <c r="M30" s="1"/>
      <c r="AB30" s="1"/>
    </row>
    <row r="31" customHeight="1" spans="1:28">
      <c r="A31" s="4"/>
      <c r="B31" s="9" t="s">
        <v>1692</v>
      </c>
      <c r="C31" s="91">
        <v>150</v>
      </c>
      <c r="D31" s="38" t="s">
        <v>304</v>
      </c>
      <c r="F31" s="1"/>
      <c r="G31" s="1"/>
      <c r="H31" s="1"/>
      <c r="I31" s="1"/>
      <c r="J31" s="1"/>
      <c r="K31" s="1"/>
      <c r="L31" s="1"/>
      <c r="M31" s="1"/>
      <c r="AB31" s="1"/>
    </row>
    <row r="32" customHeight="1" spans="1:28">
      <c r="A32" s="4"/>
      <c r="B32" s="9" t="s">
        <v>1693</v>
      </c>
      <c r="C32" s="91">
        <v>12</v>
      </c>
      <c r="D32" s="38"/>
      <c r="F32" s="1"/>
      <c r="G32" s="1"/>
      <c r="H32" s="1"/>
      <c r="I32" s="1"/>
      <c r="J32" s="1"/>
      <c r="K32" s="1"/>
      <c r="L32" s="1"/>
      <c r="M32" s="1"/>
      <c r="AB32" s="1"/>
    </row>
    <row r="33" customHeight="1" spans="1:28">
      <c r="A33" s="4"/>
      <c r="B33" s="9" t="s">
        <v>1694</v>
      </c>
      <c r="C33" s="32">
        <f>IF(C11="调节螺丝",1600*(C18/1000)^2,400*(C18/1000)^2)</f>
        <v>51.84</v>
      </c>
      <c r="D33" s="38"/>
      <c r="F33" s="1"/>
      <c r="G33" s="1"/>
      <c r="H33" s="1"/>
      <c r="I33" s="1"/>
      <c r="J33" s="1"/>
      <c r="K33" s="1"/>
      <c r="L33" s="1"/>
      <c r="M33" s="1"/>
      <c r="AB33" s="1"/>
    </row>
    <row r="34" customHeight="1" spans="1:29">
      <c r="A34" s="4"/>
      <c r="B34" s="9" t="s">
        <v>1695</v>
      </c>
      <c r="C34" s="32">
        <f>IF(C4="水平",C17*(C28+C31)/1000+C17*C33*(C29+C32)/1000/9.8,C17*(C29+C32)/1000+C17*C33*(C29+C32)/1000/9.8)</f>
        <v>4.623</v>
      </c>
      <c r="D34" s="38"/>
      <c r="F34" s="1"/>
      <c r="G34" s="1"/>
      <c r="H34" s="1"/>
      <c r="I34" s="1"/>
      <c r="J34" s="1"/>
      <c r="K34" s="1"/>
      <c r="L34" s="1"/>
      <c r="M34" s="1"/>
      <c r="AC34" s="1"/>
    </row>
    <row r="35" customHeight="1" spans="1:29">
      <c r="A35" s="4"/>
      <c r="B35" s="9" t="s">
        <v>1696</v>
      </c>
      <c r="C35" s="32">
        <f>IF(C4="水平",C17*C33*C30/9800,0)</f>
        <v>0</v>
      </c>
      <c r="D35" s="38"/>
      <c r="F35" s="1"/>
      <c r="G35" s="1"/>
      <c r="H35" s="1"/>
      <c r="I35" s="1"/>
      <c r="J35" s="1"/>
      <c r="K35" s="1"/>
      <c r="L35" s="1"/>
      <c r="M35" s="1"/>
      <c r="AC35" s="1"/>
    </row>
    <row r="36" customHeight="1" spans="1:29">
      <c r="A36" s="4"/>
      <c r="B36" s="9" t="s">
        <v>1697</v>
      </c>
      <c r="C36" s="32">
        <f>IF(C4="水平",C17*C33*C30/9800,C17*C33*C30/9800+C17*C30/1000)</f>
        <v>0</v>
      </c>
      <c r="D36" s="38"/>
      <c r="F36" s="1"/>
      <c r="G36" s="1"/>
      <c r="H36" s="1"/>
      <c r="I36" s="1"/>
      <c r="J36" s="1"/>
      <c r="K36" s="1"/>
      <c r="L36" s="1"/>
      <c r="M36" s="1"/>
      <c r="AC36" s="1"/>
    </row>
    <row r="37" customHeight="1" spans="1:29">
      <c r="A37" s="4"/>
      <c r="B37" s="9" t="s">
        <v>1698</v>
      </c>
      <c r="C37" s="32">
        <f>IF(C4="水平",C17*(C28+C31)/1000,C17*(C29+C32)/1000)</f>
        <v>0.735</v>
      </c>
      <c r="D37" s="38"/>
      <c r="F37" s="1"/>
      <c r="G37" s="1"/>
      <c r="H37" s="1"/>
      <c r="I37" s="1"/>
      <c r="J37" s="1"/>
      <c r="K37" s="1"/>
      <c r="L37" s="1"/>
      <c r="M37" s="1"/>
      <c r="AC37" s="1"/>
    </row>
    <row r="38" customHeight="1" spans="1:29">
      <c r="A38" s="4"/>
      <c r="B38" s="9" t="s">
        <v>1699</v>
      </c>
      <c r="C38" s="32">
        <f>IF(C4="水平",C17*C30/1000,0)</f>
        <v>0</v>
      </c>
      <c r="D38" s="38"/>
      <c r="F38" s="1"/>
      <c r="G38" s="1"/>
      <c r="H38" s="1"/>
      <c r="I38" s="1"/>
      <c r="J38" s="1"/>
      <c r="K38" s="1"/>
      <c r="L38" s="1"/>
      <c r="M38" s="1"/>
      <c r="AC38" s="1"/>
    </row>
    <row r="39" customHeight="1" spans="1:29">
      <c r="A39" s="4"/>
      <c r="B39" s="9" t="s">
        <v>1700</v>
      </c>
      <c r="C39" s="32">
        <f>IF(C4="水平",0,C17*C30/1000)</f>
        <v>0</v>
      </c>
      <c r="D39" s="38"/>
      <c r="F39" s="1"/>
      <c r="G39" s="1"/>
      <c r="H39" s="1"/>
      <c r="I39" s="1"/>
      <c r="J39" s="1"/>
      <c r="K39" s="1"/>
      <c r="L39" s="1"/>
      <c r="M39" s="1"/>
      <c r="AC39" s="1"/>
    </row>
    <row r="40" customHeight="1" spans="1:29">
      <c r="A40" s="4"/>
      <c r="B40" s="9" t="s">
        <v>1701</v>
      </c>
      <c r="C40" s="94">
        <v>74</v>
      </c>
      <c r="D40" s="390" t="s">
        <v>356</v>
      </c>
      <c r="F40" s="1"/>
      <c r="G40" s="1"/>
      <c r="H40" s="1"/>
      <c r="I40" s="1"/>
      <c r="J40" s="1"/>
      <c r="K40" s="1"/>
      <c r="L40" s="1"/>
      <c r="M40" s="1"/>
      <c r="AC40" s="1"/>
    </row>
    <row r="41" customHeight="1" spans="1:29">
      <c r="A41" s="4"/>
      <c r="B41" s="9" t="s">
        <v>1702</v>
      </c>
      <c r="C41" s="94">
        <v>74</v>
      </c>
      <c r="D41" s="38"/>
      <c r="F41" s="1"/>
      <c r="G41" s="1"/>
      <c r="H41" s="1"/>
      <c r="I41" s="1"/>
      <c r="J41" s="1"/>
      <c r="K41" s="1"/>
      <c r="L41" s="1"/>
      <c r="M41" s="1"/>
      <c r="AC41" s="1"/>
    </row>
    <row r="42" customHeight="1" spans="1:29">
      <c r="A42" s="4"/>
      <c r="B42" s="9" t="s">
        <v>1703</v>
      </c>
      <c r="C42" s="94">
        <v>103</v>
      </c>
      <c r="D42" s="38"/>
      <c r="F42" s="1"/>
      <c r="G42" s="1"/>
      <c r="H42" s="1"/>
      <c r="I42" s="1"/>
      <c r="J42" s="1"/>
      <c r="K42" s="1"/>
      <c r="L42" s="1"/>
      <c r="M42" s="1"/>
      <c r="AC42" s="1"/>
    </row>
    <row r="43" customHeight="1" spans="1:29">
      <c r="A43" s="4"/>
      <c r="B43" s="9" t="s">
        <v>1704</v>
      </c>
      <c r="C43" s="94">
        <v>29</v>
      </c>
      <c r="D43" s="38"/>
      <c r="F43" s="1"/>
      <c r="G43" s="1"/>
      <c r="H43" s="1"/>
      <c r="I43" s="1"/>
      <c r="J43" s="1"/>
      <c r="K43" s="1"/>
      <c r="L43" s="1"/>
      <c r="M43" s="1"/>
      <c r="AC43" s="1"/>
    </row>
    <row r="44" customHeight="1" spans="1:29">
      <c r="A44" s="4"/>
      <c r="B44" s="9" t="s">
        <v>1705</v>
      </c>
      <c r="C44" s="94">
        <v>29</v>
      </c>
      <c r="D44" s="38"/>
      <c r="F44" s="1"/>
      <c r="G44" s="1"/>
      <c r="H44" s="1"/>
      <c r="I44" s="1"/>
      <c r="J44" s="1"/>
      <c r="K44" s="1"/>
      <c r="L44" s="1"/>
      <c r="M44" s="1"/>
      <c r="P44" s="209"/>
      <c r="AC44" s="1"/>
    </row>
    <row r="45" customHeight="1" spans="1:29">
      <c r="A45" s="4"/>
      <c r="B45" s="9" t="s">
        <v>1706</v>
      </c>
      <c r="C45" s="94">
        <v>38</v>
      </c>
      <c r="D45" s="38"/>
      <c r="F45" s="1"/>
      <c r="G45" s="1"/>
      <c r="H45" s="1"/>
      <c r="I45" s="1"/>
      <c r="J45" s="1"/>
      <c r="K45" s="1"/>
      <c r="L45" s="1"/>
      <c r="M45" s="1"/>
      <c r="P45" s="209"/>
      <c r="AC45" s="1"/>
    </row>
    <row r="46" customHeight="1" spans="1:29">
      <c r="A46" s="4"/>
      <c r="B46" s="9" t="s">
        <v>1707</v>
      </c>
      <c r="C46" s="97">
        <f>C34/C40+C35/C41+C36/C42</f>
        <v>0.062472972972973</v>
      </c>
      <c r="D46" s="38"/>
      <c r="F46" s="1"/>
      <c r="G46" s="1"/>
      <c r="H46" s="1"/>
      <c r="I46" s="1"/>
      <c r="J46" s="1"/>
      <c r="K46" s="1"/>
      <c r="L46" s="1"/>
      <c r="M46" s="1"/>
      <c r="P46" s="209"/>
      <c r="AC46" s="1"/>
    </row>
    <row r="47" customHeight="1" spans="1:24">
      <c r="A47" s="4"/>
      <c r="B47" s="9" t="s">
        <v>1708</v>
      </c>
      <c r="C47" s="97">
        <f>C37/C43+C38/C44+C39/C45</f>
        <v>0.0253448275862069</v>
      </c>
      <c r="D47" s="38"/>
      <c r="F47" s="1"/>
      <c r="G47" s="1"/>
      <c r="H47" s="1"/>
      <c r="K47" s="209"/>
      <c r="X47" s="1"/>
    </row>
    <row r="48" customHeight="1" spans="1:24">
      <c r="A48" s="4"/>
      <c r="B48" s="92" t="s">
        <v>1466</v>
      </c>
      <c r="C48" s="391" t="str">
        <f>IF(OR(C46&gt;1,C47&gt;1),"M≥1或M0≥1","M≤1且M0≤1")</f>
        <v>M≤1且M0≤1</v>
      </c>
      <c r="D48" s="228" t="str">
        <f>IF(OR(C46&gt;1,C47&gt;1),"不合格，重选气缸","校验合格")</f>
        <v>校验合格</v>
      </c>
      <c r="F48" s="1"/>
      <c r="G48" s="1"/>
      <c r="H48" s="1"/>
      <c r="K48" s="209"/>
      <c r="X48" s="1"/>
    </row>
    <row r="49" customHeight="1" spans="1:24">
      <c r="A49" s="5" t="s">
        <v>1709</v>
      </c>
      <c r="B49" s="39" t="str">
        <f>C27</f>
        <v>HLQ 16x100</v>
      </c>
      <c r="C49" s="39"/>
      <c r="D49" s="39"/>
      <c r="F49" s="1"/>
      <c r="G49" s="1"/>
      <c r="H49" s="1"/>
      <c r="K49" s="209"/>
      <c r="X49" s="1"/>
    </row>
    <row r="50" customHeight="1" spans="6:29">
      <c r="F50" s="1"/>
      <c r="G50" s="1"/>
      <c r="H50" s="1"/>
      <c r="I50" s="1"/>
      <c r="J50" s="1"/>
      <c r="K50" s="1"/>
      <c r="L50" s="1"/>
      <c r="M50" s="1"/>
      <c r="AC50" s="1"/>
    </row>
    <row r="51" customHeight="1" spans="1:29">
      <c r="A51" s="392" t="s">
        <v>1710</v>
      </c>
      <c r="B51" s="289"/>
      <c r="C51" s="289"/>
      <c r="D51" s="393"/>
      <c r="F51" s="1"/>
      <c r="G51" s="1"/>
      <c r="H51" s="1"/>
      <c r="I51" s="1"/>
      <c r="J51" s="1"/>
      <c r="K51" s="1"/>
      <c r="L51" s="1"/>
      <c r="M51" s="1"/>
      <c r="AC51" s="1"/>
    </row>
    <row r="52" customHeight="1" spans="1:29">
      <c r="A52" s="394"/>
      <c r="B52" s="290"/>
      <c r="C52" s="290"/>
      <c r="D52" s="395"/>
      <c r="F52" s="1"/>
      <c r="G52" s="1"/>
      <c r="H52" s="1"/>
      <c r="I52" s="1"/>
      <c r="J52" s="1"/>
      <c r="K52" s="1"/>
      <c r="L52" s="1"/>
      <c r="M52" s="1"/>
      <c r="AC52" s="1"/>
    </row>
    <row r="53" customHeight="1" spans="1:29">
      <c r="A53" s="394"/>
      <c r="B53" s="290"/>
      <c r="C53" s="290"/>
      <c r="D53" s="395"/>
      <c r="F53" s="1"/>
      <c r="G53" s="1"/>
      <c r="H53" s="1"/>
      <c r="I53" s="1"/>
      <c r="J53" s="1"/>
      <c r="K53" s="1"/>
      <c r="L53" s="1"/>
      <c r="M53" s="1"/>
      <c r="AC53" s="1"/>
    </row>
    <row r="54" customHeight="1" spans="1:29">
      <c r="A54" s="301" t="s">
        <v>1711</v>
      </c>
      <c r="B54" s="301"/>
      <c r="C54" s="301"/>
      <c r="D54" s="301"/>
      <c r="F54" s="1"/>
      <c r="G54" s="1"/>
      <c r="H54" s="1"/>
      <c r="I54" s="1"/>
      <c r="J54" s="1"/>
      <c r="K54" s="1"/>
      <c r="L54" s="1"/>
      <c r="M54" s="1"/>
      <c r="AC54" s="1"/>
    </row>
    <row r="55" customHeight="1" spans="1:29">
      <c r="A55" s="301"/>
      <c r="B55" s="301"/>
      <c r="C55" s="301"/>
      <c r="D55" s="301"/>
      <c r="F55" s="1"/>
      <c r="G55" s="1"/>
      <c r="H55" s="1"/>
      <c r="I55" s="1"/>
      <c r="J55" s="1"/>
      <c r="K55" s="1"/>
      <c r="L55" s="1"/>
      <c r="M55" s="1"/>
      <c r="AC55" s="1"/>
    </row>
    <row r="56" customHeight="1" spans="1:29">
      <c r="A56" s="301"/>
      <c r="B56" s="301"/>
      <c r="C56" s="301"/>
      <c r="D56" s="301"/>
      <c r="F56" s="1"/>
      <c r="G56" s="1"/>
      <c r="H56" s="1"/>
      <c r="I56" s="1"/>
      <c r="J56" s="1"/>
      <c r="K56" s="1"/>
      <c r="L56" s="1"/>
      <c r="M56" s="1"/>
      <c r="AC56" s="1"/>
    </row>
    <row r="57" customHeight="1" spans="1:29">
      <c r="A57" s="301"/>
      <c r="B57" s="301"/>
      <c r="C57" s="301"/>
      <c r="D57" s="301"/>
      <c r="F57" s="1"/>
      <c r="G57" s="1"/>
      <c r="H57" s="1"/>
      <c r="I57" s="1"/>
      <c r="J57" s="1"/>
      <c r="K57" s="1"/>
      <c r="L57" s="1"/>
      <c r="M57" s="1"/>
      <c r="AC57" s="1"/>
    </row>
    <row r="58" customHeight="1" spans="1:29">
      <c r="A58" s="106" t="s">
        <v>1712</v>
      </c>
      <c r="B58" s="137"/>
      <c r="C58" s="137"/>
      <c r="D58" s="137"/>
      <c r="F58" s="1"/>
      <c r="G58" s="1"/>
      <c r="H58" s="1"/>
      <c r="I58" s="1"/>
      <c r="J58" s="1"/>
      <c r="K58" s="1"/>
      <c r="L58" s="1"/>
      <c r="M58" s="1"/>
      <c r="AC58" s="1"/>
    </row>
    <row r="59" customHeight="1" spans="6:29">
      <c r="F59" s="1"/>
      <c r="G59" s="1"/>
      <c r="H59" s="1"/>
      <c r="I59" s="1"/>
      <c r="J59" s="1"/>
      <c r="K59" s="1"/>
      <c r="L59" s="1"/>
      <c r="M59" s="1"/>
      <c r="AC59" s="1"/>
    </row>
    <row r="60" customHeight="1" spans="6:29">
      <c r="F60" s="1"/>
      <c r="G60" s="1"/>
      <c r="H60" s="1"/>
      <c r="I60" s="1"/>
      <c r="J60" s="1"/>
      <c r="K60" s="1"/>
      <c r="L60" s="1"/>
      <c r="M60" s="1"/>
      <c r="AC60" s="1"/>
    </row>
    <row r="61" customHeight="1" spans="6:29">
      <c r="F61" s="1"/>
      <c r="G61" s="1"/>
      <c r="H61" s="1"/>
      <c r="I61" s="1"/>
      <c r="J61" s="1"/>
      <c r="K61" s="1"/>
      <c r="L61" s="1"/>
      <c r="M61" s="1"/>
      <c r="AC61" s="1"/>
    </row>
    <row r="62" customHeight="1" spans="6:29">
      <c r="F62" s="1"/>
      <c r="G62" s="1"/>
      <c r="H62" s="1"/>
      <c r="I62" s="1"/>
      <c r="J62" s="1"/>
      <c r="K62" s="1"/>
      <c r="L62" s="1"/>
      <c r="M62" s="1"/>
      <c r="AC62" s="1"/>
    </row>
    <row r="63" customHeight="1" spans="6:29">
      <c r="F63" s="1"/>
      <c r="G63" s="1"/>
      <c r="H63" s="1"/>
      <c r="I63" s="1"/>
      <c r="J63" s="1"/>
      <c r="K63" s="1"/>
      <c r="L63" s="1"/>
      <c r="M63" s="1"/>
      <c r="AC63" s="1"/>
    </row>
    <row r="64" customHeight="1" spans="6:29">
      <c r="F64" s="1"/>
      <c r="G64" s="1"/>
      <c r="H64" s="1"/>
      <c r="I64" s="1"/>
      <c r="J64" s="1"/>
      <c r="K64" s="1"/>
      <c r="L64" s="1"/>
      <c r="M64" s="1"/>
      <c r="AC64" s="1"/>
    </row>
    <row r="65" customHeight="1" spans="1:29">
      <c r="A65" s="106"/>
      <c r="F65" s="1"/>
      <c r="G65" s="1"/>
      <c r="H65" s="1"/>
      <c r="I65" s="1"/>
      <c r="J65" s="1"/>
      <c r="K65" s="1"/>
      <c r="L65" s="1"/>
      <c r="M65" s="1"/>
      <c r="AC65" s="1"/>
    </row>
    <row r="66" customHeight="1" spans="6:29">
      <c r="F66" s="1"/>
      <c r="G66" s="1"/>
      <c r="H66" s="1"/>
      <c r="I66" s="1"/>
      <c r="J66" s="1"/>
      <c r="K66" s="1"/>
      <c r="L66" s="1"/>
      <c r="M66" s="1"/>
      <c r="AC66" s="1"/>
    </row>
    <row r="67" customHeight="1" spans="6:29">
      <c r="F67" s="1"/>
      <c r="G67" s="1"/>
      <c r="H67" s="1"/>
      <c r="I67" s="1"/>
      <c r="J67" s="1"/>
      <c r="K67" s="1"/>
      <c r="L67" s="1"/>
      <c r="M67" s="1"/>
      <c r="AC67" s="1"/>
    </row>
    <row r="68" customHeight="1" spans="6:13">
      <c r="F68" s="1"/>
      <c r="G68" s="1"/>
      <c r="H68" s="1"/>
      <c r="I68" s="1"/>
      <c r="J68" s="1"/>
      <c r="K68" s="1"/>
      <c r="L68" s="1"/>
      <c r="M68" s="1"/>
    </row>
    <row r="69" customHeight="1" spans="6:13">
      <c r="F69" s="1"/>
      <c r="G69" s="1"/>
      <c r="H69" s="1"/>
      <c r="I69" s="1"/>
      <c r="J69" s="1"/>
      <c r="K69" s="1"/>
      <c r="L69" s="1"/>
      <c r="M69" s="1"/>
    </row>
    <row r="70" customHeight="1" spans="6:11">
      <c r="F70" s="1"/>
      <c r="G70" s="1"/>
      <c r="H70" s="1"/>
      <c r="I70" s="1"/>
      <c r="J70" s="1"/>
      <c r="K70" s="1"/>
    </row>
    <row r="71" customHeight="1" spans="6:11">
      <c r="F71" s="1"/>
      <c r="G71" s="1"/>
      <c r="H71" s="1"/>
      <c r="I71" s="1"/>
      <c r="J71" s="1"/>
      <c r="K71" s="1"/>
    </row>
    <row r="72" customHeight="1" spans="6:11">
      <c r="F72" s="1"/>
      <c r="G72" s="1"/>
      <c r="H72" s="1"/>
      <c r="I72" s="1"/>
      <c r="J72" s="1"/>
      <c r="K72" s="1"/>
    </row>
    <row r="73" customHeight="1" spans="11:11">
      <c r="K73" s="1"/>
    </row>
  </sheetData>
  <customSheetViews>
    <customSheetView guid="{27B96A40-A6B2-43F7-A93C-713F4207CB2A}">
      <selection activeCell="N9" sqref="N9"/>
      <pageMargins left="0.7" right="0.7" top="0.75" bottom="0.75" header="0.3" footer="0.3"/>
      <headerFooter/>
    </customSheetView>
  </customSheetViews>
  <mergeCells count="22">
    <mergeCell ref="A1:D1"/>
    <mergeCell ref="K11:L11"/>
    <mergeCell ref="H12:J12"/>
    <mergeCell ref="H13:J13"/>
    <mergeCell ref="H14:J14"/>
    <mergeCell ref="H15:J15"/>
    <mergeCell ref="H16:J16"/>
    <mergeCell ref="C27:D27"/>
    <mergeCell ref="B49:D49"/>
    <mergeCell ref="A4:A11"/>
    <mergeCell ref="A12:A16"/>
    <mergeCell ref="A17:A27"/>
    <mergeCell ref="A28:A48"/>
    <mergeCell ref="D24:D26"/>
    <mergeCell ref="D28:D30"/>
    <mergeCell ref="D31:D32"/>
    <mergeCell ref="D40:D45"/>
    <mergeCell ref="F13:F18"/>
    <mergeCell ref="M11:M12"/>
    <mergeCell ref="H17:J18"/>
    <mergeCell ref="A54:D57"/>
    <mergeCell ref="A51:D53"/>
  </mergeCells>
  <dataValidations count="4">
    <dataValidation type="list" allowBlank="1" showInputMessage="1" showErrorMessage="1" prompt="请选择" sqref="C11">
      <formula1>"调节螺丝,液压缓冲"</formula1>
    </dataValidation>
    <dataValidation type="list" allowBlank="1" showInputMessage="1" showErrorMessage="1" prompt="请选择" sqref="C4">
      <formula1>"水平,竖直"</formula1>
    </dataValidation>
    <dataValidation type="list" allowBlank="1" showInputMessage="1" showErrorMessage="1" prompt="请选择" sqref="C20">
      <formula1>"1,0.6"</formula1>
    </dataValidation>
    <dataValidation type="list" allowBlank="1" showInputMessage="1" showErrorMessage="1" prompt="请选择" sqref="C24">
      <formula1>"HLQ滚珠双轴,HLS滚柱双轴"</formula1>
    </dataValidation>
  </dataValidations>
  <pageMargins left="0.7" right="0.7"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113"/>
  <sheetViews>
    <sheetView workbookViewId="0">
      <selection activeCell="B6" sqref="B6"/>
    </sheetView>
  </sheetViews>
  <sheetFormatPr defaultColWidth="15.625" defaultRowHeight="20.1" customHeight="1"/>
  <cols>
    <col min="1" max="1" width="14.875" style="82" customWidth="1"/>
    <col min="2" max="2" width="23.75" style="82" customWidth="1"/>
    <col min="3" max="3" width="17.5" style="83" customWidth="1"/>
    <col min="4" max="4" width="14.875" style="82" customWidth="1"/>
    <col min="5" max="5" width="7.125" style="82" customWidth="1"/>
    <col min="6" max="10" width="10.625" style="82" customWidth="1"/>
    <col min="11" max="11" width="8.875" style="82" customWidth="1"/>
    <col min="12" max="12" width="7.625" style="82" customWidth="1"/>
    <col min="13" max="13" width="7.125" style="82" customWidth="1"/>
    <col min="14" max="14" width="4.375" style="82" customWidth="1"/>
    <col min="15" max="20" width="10.625" style="82" customWidth="1"/>
    <col min="21" max="27" width="8.625" style="82" customWidth="1"/>
    <col min="28" max="16384" width="15.625" style="82"/>
  </cols>
  <sheetData>
    <row r="1" ht="21.95" customHeight="1" spans="1:8">
      <c r="A1" s="358" t="s">
        <v>1713</v>
      </c>
      <c r="B1" s="125"/>
      <c r="C1" s="125"/>
      <c r="D1" s="125"/>
      <c r="F1" s="146" t="s">
        <v>1714</v>
      </c>
      <c r="G1" s="1"/>
      <c r="H1" s="1"/>
    </row>
    <row r="2" customHeight="1" spans="1:30">
      <c r="A2" s="106" t="s">
        <v>1489</v>
      </c>
      <c r="F2" s="1"/>
      <c r="G2" s="1"/>
      <c r="H2" s="1"/>
      <c r="R2" s="114"/>
      <c r="S2" s="114"/>
      <c r="T2" s="114"/>
      <c r="V2" s="115"/>
      <c r="W2" s="115"/>
      <c r="X2" s="115"/>
      <c r="Y2" s="115"/>
      <c r="Z2" s="115"/>
      <c r="AA2" s="115"/>
      <c r="AB2" s="115"/>
      <c r="AC2" s="115"/>
      <c r="AD2" s="115"/>
    </row>
    <row r="3" customHeight="1" spans="1:30">
      <c r="A3" s="9" t="s">
        <v>269</v>
      </c>
      <c r="B3" s="9" t="s">
        <v>270</v>
      </c>
      <c r="C3" s="32" t="s">
        <v>271</v>
      </c>
      <c r="D3" s="9" t="s">
        <v>272</v>
      </c>
      <c r="F3" s="1"/>
      <c r="G3" s="1"/>
      <c r="H3" s="1"/>
      <c r="T3" s="114"/>
      <c r="V3" s="115"/>
      <c r="W3" s="115"/>
      <c r="X3" s="115"/>
      <c r="Y3" s="115"/>
      <c r="Z3" s="115"/>
      <c r="AA3" s="115"/>
      <c r="AB3" s="115"/>
      <c r="AC3" s="115"/>
      <c r="AD3" s="115"/>
    </row>
    <row r="4" customHeight="1" spans="1:30">
      <c r="A4" s="359" t="s">
        <v>1083</v>
      </c>
      <c r="B4" s="9" t="s">
        <v>1601</v>
      </c>
      <c r="C4" s="91">
        <v>2.5</v>
      </c>
      <c r="D4" s="9"/>
      <c r="F4" s="1"/>
      <c r="G4" s="1"/>
      <c r="H4" s="1"/>
      <c r="T4" s="114"/>
      <c r="W4" s="1"/>
      <c r="X4" s="1"/>
      <c r="Y4" s="1"/>
      <c r="Z4" s="1"/>
      <c r="AA4" s="1"/>
      <c r="AB4" s="1"/>
      <c r="AC4" s="1"/>
      <c r="AD4" s="1"/>
    </row>
    <row r="5" customHeight="1" spans="1:31">
      <c r="A5" s="360"/>
      <c r="B5" s="9" t="s">
        <v>1715</v>
      </c>
      <c r="C5" s="210">
        <v>40</v>
      </c>
      <c r="D5" s="92"/>
      <c r="F5" s="1"/>
      <c r="G5" s="1"/>
      <c r="H5" s="1"/>
      <c r="T5" s="114"/>
      <c r="W5" s="114"/>
      <c r="X5" s="114"/>
      <c r="Y5" s="114"/>
      <c r="Z5" s="114"/>
      <c r="AA5" s="114"/>
      <c r="AB5" s="114"/>
      <c r="AC5" s="114"/>
      <c r="AD5" s="114"/>
      <c r="AE5" s="1"/>
    </row>
    <row r="6" customHeight="1" spans="1:31">
      <c r="A6" s="360"/>
      <c r="B6" s="9" t="s">
        <v>1495</v>
      </c>
      <c r="C6" s="210">
        <v>0.5</v>
      </c>
      <c r="D6" s="92"/>
      <c r="G6" s="1"/>
      <c r="H6" s="1"/>
      <c r="T6" s="114"/>
      <c r="W6" s="114"/>
      <c r="X6" s="114"/>
      <c r="Y6" s="114"/>
      <c r="Z6" s="114"/>
      <c r="AE6" s="114"/>
    </row>
    <row r="7" customHeight="1" spans="1:29">
      <c r="A7" s="360"/>
      <c r="B7" s="9" t="s">
        <v>1716</v>
      </c>
      <c r="C7" s="91">
        <v>4</v>
      </c>
      <c r="D7" s="9" t="s">
        <v>1717</v>
      </c>
      <c r="F7" s="1"/>
      <c r="G7" s="1"/>
      <c r="H7" s="1"/>
      <c r="U7" s="114"/>
      <c r="V7" s="114"/>
      <c r="W7" s="114"/>
      <c r="X7" s="114"/>
      <c r="Y7" s="114"/>
      <c r="Z7" s="114"/>
      <c r="AA7" s="114"/>
      <c r="AB7" s="114"/>
      <c r="AC7" s="114"/>
    </row>
    <row r="8" customHeight="1" spans="1:30">
      <c r="A8" s="361"/>
      <c r="B8" s="9" t="s">
        <v>1497</v>
      </c>
      <c r="C8" s="91">
        <v>1</v>
      </c>
      <c r="D8" s="92" t="s">
        <v>1718</v>
      </c>
      <c r="F8" s="1"/>
      <c r="G8" s="1"/>
      <c r="H8" s="1"/>
      <c r="V8" s="114"/>
      <c r="W8" s="114"/>
      <c r="X8" s="114"/>
      <c r="Y8" s="114"/>
      <c r="Z8" s="114"/>
      <c r="AA8" s="114"/>
      <c r="AB8" s="114"/>
      <c r="AC8" s="114"/>
      <c r="AD8" s="114"/>
    </row>
    <row r="9" customHeight="1" spans="1:23">
      <c r="A9" s="126" t="s">
        <v>1719</v>
      </c>
      <c r="B9" s="9" t="s">
        <v>1720</v>
      </c>
      <c r="C9" s="104">
        <f>9.8*C4*C7/C8/2</f>
        <v>49</v>
      </c>
      <c r="D9" s="9"/>
      <c r="F9" s="1"/>
      <c r="G9" s="1"/>
      <c r="H9" s="1"/>
      <c r="U9" s="114"/>
      <c r="V9" s="114"/>
      <c r="W9" s="114"/>
    </row>
    <row r="10" customHeight="1" spans="1:13">
      <c r="A10" s="122"/>
      <c r="B10" s="92" t="s">
        <v>1642</v>
      </c>
      <c r="C10" s="151" t="s">
        <v>1721</v>
      </c>
      <c r="D10" s="9"/>
      <c r="F10" s="362"/>
      <c r="G10" s="363"/>
      <c r="H10" s="364"/>
      <c r="I10" s="364"/>
      <c r="J10" s="364"/>
      <c r="K10" s="1"/>
      <c r="L10" s="1"/>
      <c r="M10" s="222"/>
    </row>
    <row r="11" customHeight="1" spans="1:15">
      <c r="A11" s="122"/>
      <c r="B11" s="92" t="s">
        <v>1722</v>
      </c>
      <c r="C11" s="355">
        <v>16</v>
      </c>
      <c r="D11" s="92" t="s">
        <v>1714</v>
      </c>
      <c r="F11" s="362"/>
      <c r="G11" s="363"/>
      <c r="H11" s="364"/>
      <c r="I11" s="364"/>
      <c r="J11" s="364"/>
      <c r="K11" s="1"/>
      <c r="L11" s="1"/>
      <c r="M11" s="222"/>
      <c r="O11" s="106"/>
    </row>
    <row r="12" customHeight="1" spans="1:27">
      <c r="A12" s="5" t="s">
        <v>1709</v>
      </c>
      <c r="B12" s="40" t="str">
        <f>IF(C10="HFZ/HFK复动型","HFZ/HFK "&amp;C11,IF(C10="HFTZ/HFTK常开型","HFTZ/HFT "&amp;C11,IF(C10="HFSZ/HFSK常闭型","HFSZ/HFSK "&amp;C11,"请选择气缸类型")))</f>
        <v>HFZ/HFK 16</v>
      </c>
      <c r="C12" s="365"/>
      <c r="D12" s="366"/>
      <c r="F12" s="1"/>
      <c r="G12" s="1"/>
      <c r="H12" s="1"/>
      <c r="AA12" s="1"/>
    </row>
    <row r="13" customHeight="1" spans="1:27">
      <c r="A13" s="367"/>
      <c r="B13" s="368"/>
      <c r="C13" s="368"/>
      <c r="D13" s="368"/>
      <c r="F13" s="1"/>
      <c r="G13" s="1"/>
      <c r="H13" s="1"/>
      <c r="I13" s="1"/>
      <c r="J13" s="1"/>
      <c r="K13" s="1"/>
      <c r="L13" s="1"/>
      <c r="M13" s="1"/>
      <c r="AA13" s="1"/>
    </row>
    <row r="14" customHeight="1" spans="1:27">
      <c r="A14" s="244" t="s">
        <v>1723</v>
      </c>
      <c r="B14" s="244"/>
      <c r="C14" s="244"/>
      <c r="D14" s="244"/>
      <c r="F14" s="1"/>
      <c r="G14" s="1"/>
      <c r="H14" s="1"/>
      <c r="I14" s="1"/>
      <c r="J14" s="1"/>
      <c r="K14" s="1"/>
      <c r="L14" s="1"/>
      <c r="M14" s="1"/>
      <c r="P14" s="1"/>
      <c r="Q14" s="1"/>
      <c r="AA14" s="1"/>
    </row>
    <row r="15" customHeight="1" spans="1:27">
      <c r="A15" s="244"/>
      <c r="B15" s="244"/>
      <c r="C15" s="244"/>
      <c r="D15" s="244"/>
      <c r="F15" s="1"/>
      <c r="G15" s="1"/>
      <c r="H15" s="1"/>
      <c r="I15" s="1"/>
      <c r="J15" s="1"/>
      <c r="K15" s="1"/>
      <c r="L15" s="1"/>
      <c r="M15" s="1"/>
      <c r="AA15" s="1"/>
    </row>
    <row r="16" customHeight="1" spans="1:27">
      <c r="A16" s="244"/>
      <c r="B16" s="244"/>
      <c r="C16" s="244"/>
      <c r="D16" s="244"/>
      <c r="F16" s="1"/>
      <c r="G16" s="1"/>
      <c r="H16" s="1"/>
      <c r="I16" s="1"/>
      <c r="J16" s="1"/>
      <c r="K16" s="1"/>
      <c r="L16" s="1"/>
      <c r="M16" s="1"/>
      <c r="AA16" s="1"/>
    </row>
    <row r="17" customHeight="1" spans="1:27">
      <c r="A17" s="244"/>
      <c r="B17" s="244"/>
      <c r="C17" s="244"/>
      <c r="D17" s="244"/>
      <c r="F17" s="1"/>
      <c r="G17" s="1"/>
      <c r="H17" s="1"/>
      <c r="I17" s="1"/>
      <c r="J17" s="1"/>
      <c r="K17" s="1"/>
      <c r="L17" s="1"/>
      <c r="M17" s="1"/>
      <c r="O17" s="1"/>
      <c r="AA17" s="1"/>
    </row>
    <row r="18" customHeight="1" spans="1:29">
      <c r="A18" s="244"/>
      <c r="B18" s="244"/>
      <c r="C18" s="244"/>
      <c r="D18" s="244"/>
      <c r="F18" s="1"/>
      <c r="G18" s="1"/>
      <c r="H18" s="1"/>
      <c r="I18" s="1"/>
      <c r="J18" s="1"/>
      <c r="K18" s="1"/>
      <c r="L18" s="1"/>
      <c r="M18" s="1"/>
      <c r="AC18" s="1"/>
    </row>
    <row r="19" customHeight="1" spans="1:29">
      <c r="A19" s="244"/>
      <c r="B19" s="244"/>
      <c r="C19" s="244"/>
      <c r="D19" s="244"/>
      <c r="F19" s="1"/>
      <c r="G19" s="1"/>
      <c r="H19" s="1"/>
      <c r="I19" s="1"/>
      <c r="J19" s="1"/>
      <c r="K19" s="1"/>
      <c r="L19" s="1"/>
      <c r="M19" s="1"/>
      <c r="AC19" s="1"/>
    </row>
    <row r="20" customHeight="1" spans="1:29">
      <c r="A20" s="244"/>
      <c r="B20" s="244"/>
      <c r="C20" s="244"/>
      <c r="D20" s="244"/>
      <c r="F20" s="1"/>
      <c r="G20" s="1"/>
      <c r="H20" s="1"/>
      <c r="I20" s="1"/>
      <c r="J20" s="1"/>
      <c r="K20" s="1"/>
      <c r="L20" s="1"/>
      <c r="M20" s="1"/>
      <c r="AC20" s="1"/>
    </row>
    <row r="21" customHeight="1" spans="1:29">
      <c r="A21" s="244"/>
      <c r="B21" s="244"/>
      <c r="C21" s="244"/>
      <c r="D21" s="244"/>
      <c r="F21" s="106"/>
      <c r="G21" s="1"/>
      <c r="H21" s="1"/>
      <c r="I21" s="1"/>
      <c r="J21" s="1"/>
      <c r="K21" s="1"/>
      <c r="L21" s="1"/>
      <c r="M21" s="1"/>
      <c r="AC21" s="1"/>
    </row>
    <row r="22" customHeight="1" spans="1:29">
      <c r="A22" s="247"/>
      <c r="B22" s="247"/>
      <c r="C22" s="247"/>
      <c r="D22" s="247"/>
      <c r="F22" s="1"/>
      <c r="G22" s="1"/>
      <c r="H22" s="1"/>
      <c r="I22" s="1"/>
      <c r="J22" s="1"/>
      <c r="K22" s="1"/>
      <c r="L22" s="1"/>
      <c r="M22" s="1"/>
      <c r="AC22" s="1"/>
    </row>
    <row r="23" customHeight="1" spans="1:29">
      <c r="A23" s="301" t="s">
        <v>1724</v>
      </c>
      <c r="B23" s="301"/>
      <c r="C23" s="301"/>
      <c r="D23" s="301"/>
      <c r="F23" s="1"/>
      <c r="G23" s="1"/>
      <c r="H23" s="1"/>
      <c r="I23" s="1"/>
      <c r="J23" s="1"/>
      <c r="K23" s="1"/>
      <c r="L23" s="1"/>
      <c r="M23" s="1"/>
      <c r="AC23" s="1"/>
    </row>
    <row r="24" customHeight="1" spans="1:29">
      <c r="A24" s="301"/>
      <c r="B24" s="301"/>
      <c r="C24" s="301"/>
      <c r="D24" s="301"/>
      <c r="F24" s="1"/>
      <c r="G24" s="1"/>
      <c r="H24" s="1"/>
      <c r="I24" s="1"/>
      <c r="J24" s="1"/>
      <c r="K24" s="1"/>
      <c r="L24" s="1"/>
      <c r="M24" s="1"/>
      <c r="AC24" s="1"/>
    </row>
    <row r="25" customHeight="1" spans="1:28">
      <c r="A25" s="301"/>
      <c r="B25" s="301"/>
      <c r="C25" s="301"/>
      <c r="D25" s="301"/>
      <c r="F25" s="1"/>
      <c r="G25" s="1"/>
      <c r="H25" s="1"/>
      <c r="I25" s="1"/>
      <c r="J25" s="1"/>
      <c r="K25" s="1"/>
      <c r="L25" s="1"/>
      <c r="M25" s="1"/>
      <c r="AB25" s="1"/>
    </row>
    <row r="26" customHeight="1" spans="1:28">
      <c r="A26" s="301"/>
      <c r="B26" s="301"/>
      <c r="C26" s="301"/>
      <c r="D26" s="301"/>
      <c r="F26" s="1"/>
      <c r="G26" s="1"/>
      <c r="H26" s="1"/>
      <c r="I26" s="1"/>
      <c r="J26" s="1"/>
      <c r="K26" s="1"/>
      <c r="L26" s="1"/>
      <c r="M26" s="1"/>
      <c r="AB26" s="1"/>
    </row>
    <row r="27" customHeight="1" spans="1:28">
      <c r="A27" s="82" t="s">
        <v>1725</v>
      </c>
      <c r="F27" s="1"/>
      <c r="G27" s="1"/>
      <c r="H27" s="1"/>
      <c r="I27" s="1"/>
      <c r="J27" s="1"/>
      <c r="K27" s="1"/>
      <c r="L27" s="1"/>
      <c r="M27" s="1"/>
      <c r="AB27" s="1"/>
    </row>
    <row r="28" customHeight="1" spans="1:28">
      <c r="A28" s="369"/>
      <c r="B28" s="369"/>
      <c r="C28" s="370"/>
      <c r="D28" s="370"/>
      <c r="F28" s="1"/>
      <c r="G28" s="1"/>
      <c r="H28" s="1"/>
      <c r="I28" s="1"/>
      <c r="J28" s="1"/>
      <c r="K28" s="1"/>
      <c r="L28" s="1"/>
      <c r="M28" s="1"/>
      <c r="AB28" s="1"/>
    </row>
    <row r="29" customHeight="1" spans="1:28">
      <c r="A29" s="369"/>
      <c r="B29" s="369"/>
      <c r="C29" s="371"/>
      <c r="D29" s="370"/>
      <c r="F29" s="1"/>
      <c r="G29" s="1"/>
      <c r="H29" s="1"/>
      <c r="I29" s="1"/>
      <c r="J29" s="1"/>
      <c r="K29" s="1"/>
      <c r="L29" s="1"/>
      <c r="M29" s="1"/>
      <c r="AB29" s="1"/>
    </row>
    <row r="30" customHeight="1" spans="1:28">
      <c r="A30" s="370"/>
      <c r="B30" s="370"/>
      <c r="C30" s="370"/>
      <c r="D30" s="370"/>
      <c r="F30" s="1"/>
      <c r="G30" s="1"/>
      <c r="H30" s="1"/>
      <c r="I30" s="1"/>
      <c r="J30" s="1"/>
      <c r="K30" s="1"/>
      <c r="L30" s="1"/>
      <c r="M30" s="1"/>
      <c r="AB30" s="1"/>
    </row>
    <row r="31" customHeight="1" spans="1:28">
      <c r="A31" s="370"/>
      <c r="B31" s="370"/>
      <c r="C31" s="370"/>
      <c r="D31" s="370"/>
      <c r="F31" s="1"/>
      <c r="G31" s="1"/>
      <c r="H31" s="1"/>
      <c r="I31" s="1"/>
      <c r="J31" s="1"/>
      <c r="K31" s="1"/>
      <c r="L31" s="1"/>
      <c r="M31" s="1"/>
      <c r="AB31" s="1"/>
    </row>
    <row r="32" customHeight="1" spans="1:28">
      <c r="A32" s="370"/>
      <c r="B32" s="370"/>
      <c r="C32" s="370"/>
      <c r="D32" s="370"/>
      <c r="F32" s="1"/>
      <c r="G32" s="1"/>
      <c r="H32" s="1"/>
      <c r="I32" s="1"/>
      <c r="J32" s="1"/>
      <c r="K32" s="1"/>
      <c r="L32" s="1"/>
      <c r="M32" s="1"/>
      <c r="AB32" s="1"/>
    </row>
    <row r="33" customHeight="1" spans="1:29">
      <c r="A33" s="370"/>
      <c r="B33" s="370"/>
      <c r="C33" s="370"/>
      <c r="D33" s="370"/>
      <c r="F33" s="1"/>
      <c r="G33" s="1"/>
      <c r="H33" s="1"/>
      <c r="I33" s="1"/>
      <c r="J33" s="1"/>
      <c r="K33" s="1"/>
      <c r="L33" s="1"/>
      <c r="M33" s="1"/>
      <c r="AC33" s="1"/>
    </row>
    <row r="34" customHeight="1" spans="1:29">
      <c r="A34" s="370"/>
      <c r="B34" s="370"/>
      <c r="C34" s="370"/>
      <c r="D34" s="370"/>
      <c r="F34" s="1"/>
      <c r="G34" s="1"/>
      <c r="H34" s="1"/>
      <c r="I34" s="1"/>
      <c r="J34" s="1"/>
      <c r="K34" s="1"/>
      <c r="L34" s="1"/>
      <c r="M34" s="1"/>
      <c r="AC34" s="1"/>
    </row>
    <row r="35" customHeight="1" spans="1:29">
      <c r="A35" s="370"/>
      <c r="B35" s="370"/>
      <c r="C35" s="370"/>
      <c r="D35" s="370"/>
      <c r="F35" s="1"/>
      <c r="G35" s="1"/>
      <c r="H35" s="1"/>
      <c r="I35" s="1"/>
      <c r="J35" s="1"/>
      <c r="K35" s="1"/>
      <c r="L35" s="1"/>
      <c r="M35" s="1"/>
      <c r="AC35" s="1"/>
    </row>
    <row r="36" customHeight="1" spans="1:29">
      <c r="A36" s="370"/>
      <c r="B36" s="370"/>
      <c r="C36" s="370"/>
      <c r="D36" s="370"/>
      <c r="F36" s="1"/>
      <c r="G36" s="1"/>
      <c r="H36" s="1"/>
      <c r="I36" s="1"/>
      <c r="J36" s="1"/>
      <c r="K36" s="1"/>
      <c r="L36" s="1"/>
      <c r="M36" s="1"/>
      <c r="AC36" s="1"/>
    </row>
    <row r="37" customHeight="1" spans="1:29">
      <c r="A37" s="370"/>
      <c r="B37" s="370"/>
      <c r="C37" s="370"/>
      <c r="D37" s="370"/>
      <c r="F37" s="1"/>
      <c r="G37" s="1"/>
      <c r="H37" s="1"/>
      <c r="I37" s="1"/>
      <c r="J37" s="1"/>
      <c r="K37" s="1"/>
      <c r="L37" s="1"/>
      <c r="M37" s="1"/>
      <c r="P37" s="209"/>
      <c r="AC37" s="1"/>
    </row>
    <row r="38" customHeight="1" spans="1:29">
      <c r="A38" s="370"/>
      <c r="B38" s="370"/>
      <c r="C38" s="370"/>
      <c r="D38" s="370"/>
      <c r="F38" s="1"/>
      <c r="G38" s="1"/>
      <c r="H38" s="1"/>
      <c r="I38" s="1"/>
      <c r="J38" s="1"/>
      <c r="K38" s="1"/>
      <c r="L38" s="1"/>
      <c r="M38" s="1"/>
      <c r="P38" s="209"/>
      <c r="AC38" s="1"/>
    </row>
    <row r="39" customHeight="1" spans="1:29">
      <c r="A39" s="370"/>
      <c r="B39" s="370"/>
      <c r="C39" s="370"/>
      <c r="D39" s="370"/>
      <c r="F39" s="1"/>
      <c r="G39" s="1"/>
      <c r="H39" s="1"/>
      <c r="I39" s="1"/>
      <c r="J39" s="1"/>
      <c r="K39" s="1"/>
      <c r="L39" s="1"/>
      <c r="M39" s="1"/>
      <c r="P39" s="209"/>
      <c r="AC39" s="1"/>
    </row>
    <row r="40" customHeight="1" spans="1:29">
      <c r="A40" s="370"/>
      <c r="B40" s="370"/>
      <c r="C40" s="370"/>
      <c r="D40" s="370"/>
      <c r="F40" s="1"/>
      <c r="G40" s="1"/>
      <c r="H40" s="1"/>
      <c r="K40" s="209"/>
      <c r="X40" s="1"/>
      <c r="AC40" s="1"/>
    </row>
    <row r="41" customHeight="1" spans="1:29">
      <c r="A41" s="370"/>
      <c r="B41" s="370"/>
      <c r="C41" s="370"/>
      <c r="D41" s="370"/>
      <c r="F41" s="1"/>
      <c r="G41" s="1"/>
      <c r="H41" s="1"/>
      <c r="K41" s="209"/>
      <c r="X41" s="1"/>
      <c r="AC41" s="1"/>
    </row>
    <row r="42" customHeight="1" spans="1:29">
      <c r="A42" s="370"/>
      <c r="B42" s="370"/>
      <c r="C42" s="370"/>
      <c r="D42" s="370"/>
      <c r="F42" s="1"/>
      <c r="G42" s="1"/>
      <c r="H42" s="1"/>
      <c r="K42" s="209"/>
      <c r="X42" s="1"/>
      <c r="AC42" s="1"/>
    </row>
    <row r="43" customHeight="1" spans="1:29">
      <c r="A43" s="370"/>
      <c r="B43" s="370"/>
      <c r="C43" s="370"/>
      <c r="D43" s="370"/>
      <c r="F43" s="1"/>
      <c r="G43" s="1"/>
      <c r="H43" s="1"/>
      <c r="I43" s="1"/>
      <c r="J43" s="1"/>
      <c r="K43" s="1"/>
      <c r="L43" s="1"/>
      <c r="M43" s="1"/>
      <c r="AC43" s="1"/>
    </row>
    <row r="44" customHeight="1" spans="1:29">
      <c r="A44" s="370"/>
      <c r="B44" s="370"/>
      <c r="C44" s="370"/>
      <c r="D44" s="370"/>
      <c r="F44" s="1"/>
      <c r="G44" s="1"/>
      <c r="H44" s="1"/>
      <c r="I44" s="1"/>
      <c r="J44" s="1"/>
      <c r="K44" s="1"/>
      <c r="L44" s="1"/>
      <c r="M44" s="1"/>
      <c r="AC44" s="1"/>
    </row>
    <row r="45" customHeight="1" spans="1:29">
      <c r="A45" s="370"/>
      <c r="B45" s="370"/>
      <c r="C45" s="370"/>
      <c r="D45" s="370"/>
      <c r="F45" s="1"/>
      <c r="G45" s="1"/>
      <c r="H45" s="1"/>
      <c r="I45" s="1"/>
      <c r="J45" s="1"/>
      <c r="K45" s="1"/>
      <c r="L45" s="1"/>
      <c r="M45" s="1"/>
      <c r="AC45" s="1"/>
    </row>
    <row r="46" customHeight="1" spans="1:13">
      <c r="A46" s="370"/>
      <c r="B46" s="370"/>
      <c r="C46" s="370"/>
      <c r="D46" s="370"/>
      <c r="F46" s="1"/>
      <c r="G46" s="1"/>
      <c r="H46" s="1"/>
      <c r="I46" s="1"/>
      <c r="J46" s="1"/>
      <c r="K46" s="1"/>
      <c r="L46" s="1"/>
      <c r="M46" s="1"/>
    </row>
    <row r="47" customHeight="1" spans="1:13">
      <c r="A47" s="370"/>
      <c r="B47" s="370"/>
      <c r="C47" s="370"/>
      <c r="D47" s="370"/>
      <c r="F47" s="1"/>
      <c r="G47" s="1"/>
      <c r="H47" s="1"/>
      <c r="I47" s="1"/>
      <c r="J47" s="1"/>
      <c r="K47" s="1"/>
      <c r="L47" s="1"/>
      <c r="M47" s="1"/>
    </row>
    <row r="48" customHeight="1" spans="1:13">
      <c r="A48" s="370"/>
      <c r="B48" s="370"/>
      <c r="C48" s="370"/>
      <c r="D48" s="370"/>
      <c r="F48" s="1"/>
      <c r="G48" s="1"/>
      <c r="H48" s="1"/>
      <c r="I48" s="1"/>
      <c r="J48" s="1"/>
      <c r="K48" s="1"/>
      <c r="L48" s="1"/>
      <c r="M48" s="1"/>
    </row>
    <row r="49" customHeight="1" spans="1:29">
      <c r="A49" s="370"/>
      <c r="B49" s="370"/>
      <c r="C49" s="370"/>
      <c r="D49" s="370"/>
      <c r="F49" s="1"/>
      <c r="G49" s="1"/>
      <c r="H49" s="1"/>
      <c r="I49" s="1"/>
      <c r="J49" s="1"/>
      <c r="K49" s="1"/>
      <c r="L49" s="1"/>
      <c r="M49" s="1"/>
      <c r="AC49" s="1"/>
    </row>
    <row r="50" customHeight="1" spans="1:29">
      <c r="A50" s="370"/>
      <c r="B50" s="370"/>
      <c r="C50" s="370"/>
      <c r="D50" s="370"/>
      <c r="F50" s="1"/>
      <c r="G50" s="1"/>
      <c r="H50" s="1"/>
      <c r="I50" s="1"/>
      <c r="J50" s="1"/>
      <c r="K50" s="1"/>
      <c r="L50" s="1"/>
      <c r="M50" s="1"/>
      <c r="AC50" s="1"/>
    </row>
    <row r="51" customHeight="1" spans="1:29">
      <c r="A51" s="370"/>
      <c r="B51" s="370"/>
      <c r="C51" s="370"/>
      <c r="D51" s="370"/>
      <c r="F51" s="1"/>
      <c r="G51" s="1"/>
      <c r="H51" s="1"/>
      <c r="I51" s="1"/>
      <c r="J51" s="1"/>
      <c r="K51" s="1"/>
      <c r="L51" s="1"/>
      <c r="M51" s="1"/>
      <c r="AC51" s="1"/>
    </row>
    <row r="52" customHeight="1" spans="1:29">
      <c r="A52" s="370"/>
      <c r="B52" s="370"/>
      <c r="C52" s="370"/>
      <c r="D52" s="370"/>
      <c r="F52" s="1"/>
      <c r="G52" s="1"/>
      <c r="H52" s="1"/>
      <c r="I52" s="1"/>
      <c r="J52" s="1"/>
      <c r="K52" s="1"/>
      <c r="L52" s="1"/>
      <c r="M52" s="1"/>
      <c r="AC52" s="1"/>
    </row>
    <row r="53" customHeight="1" spans="1:29">
      <c r="A53" s="370"/>
      <c r="B53" s="370"/>
      <c r="C53" s="370"/>
      <c r="D53" s="370"/>
      <c r="F53" s="1"/>
      <c r="G53" s="1"/>
      <c r="H53" s="1"/>
      <c r="I53" s="1"/>
      <c r="J53" s="1"/>
      <c r="K53" s="1"/>
      <c r="L53" s="1"/>
      <c r="M53" s="1"/>
      <c r="AC53" s="1"/>
    </row>
    <row r="54" customHeight="1" spans="1:29">
      <c r="A54" s="370"/>
      <c r="B54" s="370"/>
      <c r="C54" s="370"/>
      <c r="D54" s="370"/>
      <c r="F54" s="1"/>
      <c r="G54" s="1"/>
      <c r="H54" s="1"/>
      <c r="I54" s="1"/>
      <c r="J54" s="1"/>
      <c r="K54" s="1"/>
      <c r="L54" s="1"/>
      <c r="M54" s="1"/>
      <c r="AC54" s="1"/>
    </row>
    <row r="55" customHeight="1" spans="1:29">
      <c r="A55" s="370"/>
      <c r="B55" s="370"/>
      <c r="C55" s="370"/>
      <c r="D55" s="370"/>
      <c r="F55" s="1"/>
      <c r="G55" s="1"/>
      <c r="H55" s="1"/>
      <c r="I55" s="1"/>
      <c r="J55" s="1"/>
      <c r="K55" s="1"/>
      <c r="L55" s="1"/>
      <c r="M55" s="1"/>
      <c r="AC55" s="1"/>
    </row>
    <row r="56" customHeight="1" spans="1:29">
      <c r="A56" s="370"/>
      <c r="B56" s="370"/>
      <c r="C56" s="370"/>
      <c r="D56" s="370"/>
      <c r="F56" s="1"/>
      <c r="G56" s="1"/>
      <c r="H56" s="1"/>
      <c r="I56" s="1"/>
      <c r="J56" s="1"/>
      <c r="K56" s="1"/>
      <c r="L56" s="1"/>
      <c r="M56" s="1"/>
      <c r="AC56" s="1"/>
    </row>
    <row r="57" customHeight="1" spans="1:29">
      <c r="A57" s="370"/>
      <c r="B57" s="370"/>
      <c r="C57" s="370"/>
      <c r="D57" s="370"/>
      <c r="F57" s="1"/>
      <c r="G57" s="1"/>
      <c r="H57" s="1"/>
      <c r="I57" s="1"/>
      <c r="J57" s="1"/>
      <c r="K57" s="1"/>
      <c r="L57" s="1"/>
      <c r="M57" s="1"/>
      <c r="AC57" s="1"/>
    </row>
    <row r="58" customHeight="1" spans="1:29">
      <c r="A58" s="370"/>
      <c r="B58" s="370"/>
      <c r="C58" s="370"/>
      <c r="D58" s="370"/>
      <c r="F58" s="1"/>
      <c r="G58" s="1"/>
      <c r="H58" s="1"/>
      <c r="I58" s="1"/>
      <c r="J58" s="1"/>
      <c r="K58" s="1"/>
      <c r="L58" s="1"/>
      <c r="M58" s="1"/>
      <c r="AC58" s="1"/>
    </row>
    <row r="59" customHeight="1" spans="1:29">
      <c r="A59" s="370"/>
      <c r="B59" s="370"/>
      <c r="C59" s="370"/>
      <c r="D59" s="370"/>
      <c r="F59" s="1"/>
      <c r="G59" s="1"/>
      <c r="H59" s="1"/>
      <c r="I59" s="1"/>
      <c r="J59" s="1"/>
      <c r="K59" s="1"/>
      <c r="L59" s="1"/>
      <c r="M59" s="1"/>
      <c r="AC59" s="1"/>
    </row>
    <row r="60" customHeight="1" spans="1:29">
      <c r="A60" s="370"/>
      <c r="B60" s="370"/>
      <c r="C60" s="370"/>
      <c r="D60" s="370"/>
      <c r="F60" s="1"/>
      <c r="G60" s="1"/>
      <c r="H60" s="1"/>
      <c r="I60" s="1"/>
      <c r="J60" s="1"/>
      <c r="K60" s="1"/>
      <c r="L60" s="1"/>
      <c r="M60" s="1"/>
      <c r="AC60" s="1"/>
    </row>
    <row r="61" customHeight="1" spans="1:29">
      <c r="A61" s="370"/>
      <c r="B61" s="370"/>
      <c r="C61" s="370"/>
      <c r="D61" s="370"/>
      <c r="F61" s="1"/>
      <c r="G61" s="1"/>
      <c r="H61" s="1"/>
      <c r="I61" s="1"/>
      <c r="J61" s="1"/>
      <c r="K61" s="1"/>
      <c r="L61" s="1"/>
      <c r="M61" s="1"/>
      <c r="AC61" s="1"/>
    </row>
    <row r="62" customHeight="1" spans="1:29">
      <c r="A62" s="370"/>
      <c r="B62" s="370"/>
      <c r="C62" s="370"/>
      <c r="D62" s="370"/>
      <c r="F62" s="1"/>
      <c r="G62" s="1"/>
      <c r="H62" s="1"/>
      <c r="I62" s="1"/>
      <c r="J62" s="1"/>
      <c r="K62" s="1"/>
      <c r="L62" s="1"/>
      <c r="M62" s="1"/>
      <c r="AC62" s="1"/>
    </row>
    <row r="63" customHeight="1" spans="1:29">
      <c r="A63" s="370"/>
      <c r="B63" s="370"/>
      <c r="C63" s="370"/>
      <c r="D63" s="370"/>
      <c r="F63" s="1"/>
      <c r="G63" s="1"/>
      <c r="H63" s="1"/>
      <c r="I63" s="1"/>
      <c r="J63" s="1"/>
      <c r="K63" s="1"/>
      <c r="AC63" s="1"/>
    </row>
    <row r="64" customHeight="1" spans="1:29">
      <c r="A64" s="370"/>
      <c r="B64" s="370"/>
      <c r="C64" s="370"/>
      <c r="D64" s="370"/>
      <c r="F64" s="1"/>
      <c r="G64" s="1"/>
      <c r="H64" s="1"/>
      <c r="I64" s="1"/>
      <c r="J64" s="1"/>
      <c r="K64" s="1"/>
      <c r="AC64" s="1"/>
    </row>
    <row r="65" customHeight="1" spans="1:29">
      <c r="A65" s="370"/>
      <c r="B65" s="370"/>
      <c r="C65" s="370"/>
      <c r="D65" s="370"/>
      <c r="F65" s="1"/>
      <c r="G65" s="1"/>
      <c r="H65" s="1"/>
      <c r="I65" s="1"/>
      <c r="J65" s="1"/>
      <c r="K65" s="1"/>
      <c r="AC65" s="1"/>
    </row>
    <row r="66" customHeight="1" spans="1:29">
      <c r="A66" s="370"/>
      <c r="B66" s="370"/>
      <c r="C66" s="370"/>
      <c r="D66" s="370"/>
      <c r="K66" s="1"/>
      <c r="AC66" s="1"/>
    </row>
    <row r="67" customHeight="1" spans="1:4">
      <c r="A67" s="370"/>
      <c r="B67" s="370"/>
      <c r="C67" s="370"/>
      <c r="D67" s="370"/>
    </row>
    <row r="68" customHeight="1" spans="1:4">
      <c r="A68" s="370"/>
      <c r="B68" s="370"/>
      <c r="C68" s="370"/>
      <c r="D68" s="370"/>
    </row>
    <row r="69" customHeight="1" spans="1:4">
      <c r="A69" s="370"/>
      <c r="B69" s="370"/>
      <c r="C69" s="370"/>
      <c r="D69" s="370"/>
    </row>
    <row r="70" customHeight="1" spans="1:4">
      <c r="A70" s="370"/>
      <c r="B70" s="370"/>
      <c r="C70" s="370"/>
      <c r="D70" s="370"/>
    </row>
    <row r="71" customHeight="1" spans="1:4">
      <c r="A71" s="370"/>
      <c r="B71" s="370"/>
      <c r="C71" s="370"/>
      <c r="D71" s="370"/>
    </row>
    <row r="72" customHeight="1" spans="1:4">
      <c r="A72" s="370"/>
      <c r="B72" s="370"/>
      <c r="C72" s="370"/>
      <c r="D72" s="370"/>
    </row>
    <row r="73" customHeight="1" spans="1:4">
      <c r="A73" s="370"/>
      <c r="B73" s="370"/>
      <c r="C73" s="370"/>
      <c r="D73" s="370"/>
    </row>
    <row r="74" customHeight="1" spans="1:4">
      <c r="A74" s="370"/>
      <c r="B74" s="370"/>
      <c r="C74" s="370"/>
      <c r="D74" s="370"/>
    </row>
    <row r="75" customHeight="1" spans="1:4">
      <c r="A75" s="370"/>
      <c r="B75" s="370"/>
      <c r="C75" s="370"/>
      <c r="D75" s="370"/>
    </row>
    <row r="76" customHeight="1" spans="1:4">
      <c r="A76" s="370"/>
      <c r="B76" s="370"/>
      <c r="C76" s="370"/>
      <c r="D76" s="370"/>
    </row>
    <row r="77" customHeight="1" spans="1:4">
      <c r="A77" s="370"/>
      <c r="B77" s="370"/>
      <c r="C77" s="370"/>
      <c r="D77" s="370"/>
    </row>
    <row r="78" customHeight="1" spans="1:4">
      <c r="A78" s="370"/>
      <c r="B78" s="370"/>
      <c r="C78" s="370"/>
      <c r="D78" s="370"/>
    </row>
    <row r="79" customHeight="1" spans="1:4">
      <c r="A79" s="370"/>
      <c r="B79" s="370"/>
      <c r="C79" s="370"/>
      <c r="D79" s="370"/>
    </row>
    <row r="80" customHeight="1" spans="1:4">
      <c r="A80" s="370"/>
      <c r="B80" s="370"/>
      <c r="C80" s="370"/>
      <c r="D80" s="370"/>
    </row>
    <row r="81" customHeight="1" spans="1:4">
      <c r="A81" s="370"/>
      <c r="B81" s="370"/>
      <c r="C81" s="370"/>
      <c r="D81" s="370"/>
    </row>
    <row r="82" customHeight="1" spans="1:4">
      <c r="A82" s="370"/>
      <c r="B82" s="370"/>
      <c r="C82" s="370"/>
      <c r="D82" s="370"/>
    </row>
    <row r="83" customHeight="1" spans="1:4">
      <c r="A83" s="370"/>
      <c r="B83" s="370"/>
      <c r="C83" s="370"/>
      <c r="D83" s="370"/>
    </row>
    <row r="84" customHeight="1" spans="1:4">
      <c r="A84" s="370"/>
      <c r="B84" s="370"/>
      <c r="C84" s="370"/>
      <c r="D84" s="370"/>
    </row>
    <row r="85" customHeight="1" spans="1:4">
      <c r="A85" s="370"/>
      <c r="B85" s="370"/>
      <c r="C85" s="370"/>
      <c r="D85" s="370"/>
    </row>
    <row r="86" customHeight="1" spans="1:4">
      <c r="A86" s="370"/>
      <c r="B86" s="370"/>
      <c r="C86" s="370"/>
      <c r="D86" s="370"/>
    </row>
    <row r="87" customHeight="1" spans="1:4">
      <c r="A87" s="370"/>
      <c r="B87" s="370"/>
      <c r="C87" s="370"/>
      <c r="D87" s="370"/>
    </row>
    <row r="88" customHeight="1" spans="1:4">
      <c r="A88" s="370"/>
      <c r="B88" s="370"/>
      <c r="C88" s="370"/>
      <c r="D88" s="370"/>
    </row>
    <row r="89" customHeight="1" spans="1:4">
      <c r="A89" s="370"/>
      <c r="B89" s="370"/>
      <c r="C89" s="370"/>
      <c r="D89" s="370"/>
    </row>
    <row r="90" customHeight="1" spans="1:4">
      <c r="A90" s="370"/>
      <c r="B90" s="370"/>
      <c r="C90" s="370"/>
      <c r="D90" s="370"/>
    </row>
    <row r="91" customHeight="1" spans="1:4">
      <c r="A91" s="370"/>
      <c r="B91" s="370"/>
      <c r="C91" s="370"/>
      <c r="D91" s="370"/>
    </row>
    <row r="92" customHeight="1" spans="1:4">
      <c r="A92" s="370"/>
      <c r="B92" s="370"/>
      <c r="C92" s="370"/>
      <c r="D92" s="370"/>
    </row>
    <row r="93" customHeight="1" spans="1:4">
      <c r="A93" s="370"/>
      <c r="B93" s="370"/>
      <c r="C93" s="370"/>
      <c r="D93" s="370"/>
    </row>
    <row r="94" customHeight="1" spans="1:4">
      <c r="A94" s="370"/>
      <c r="B94" s="370"/>
      <c r="C94" s="370"/>
      <c r="D94" s="370"/>
    </row>
    <row r="95" customHeight="1" spans="1:4">
      <c r="A95" s="370"/>
      <c r="B95" s="370"/>
      <c r="C95" s="370"/>
      <c r="D95" s="370"/>
    </row>
    <row r="96" customHeight="1" spans="1:4">
      <c r="A96" s="370"/>
      <c r="B96" s="370"/>
      <c r="C96" s="370"/>
      <c r="D96" s="370"/>
    </row>
    <row r="97" customHeight="1" spans="1:4">
      <c r="A97" s="370"/>
      <c r="B97" s="370"/>
      <c r="C97" s="370"/>
      <c r="D97" s="370"/>
    </row>
    <row r="98" customHeight="1" spans="1:4">
      <c r="A98" s="370"/>
      <c r="B98" s="370"/>
      <c r="C98" s="370"/>
      <c r="D98" s="370"/>
    </row>
    <row r="99" customHeight="1" spans="1:4">
      <c r="A99" s="370"/>
      <c r="B99" s="370"/>
      <c r="C99" s="370"/>
      <c r="D99" s="370"/>
    </row>
    <row r="100" customHeight="1" spans="1:4">
      <c r="A100" s="370"/>
      <c r="B100" s="370"/>
      <c r="C100" s="370"/>
      <c r="D100" s="370"/>
    </row>
    <row r="101" customHeight="1" spans="1:4">
      <c r="A101" s="370"/>
      <c r="B101" s="370"/>
      <c r="C101" s="370"/>
      <c r="D101" s="370"/>
    </row>
    <row r="102" customHeight="1" spans="1:4">
      <c r="A102" s="370"/>
      <c r="B102" s="370"/>
      <c r="C102" s="370"/>
      <c r="D102" s="370"/>
    </row>
    <row r="103" customHeight="1" spans="1:4">
      <c r="A103" s="370"/>
      <c r="B103" s="370"/>
      <c r="C103" s="370"/>
      <c r="D103" s="370"/>
    </row>
    <row r="104" customHeight="1" spans="1:4">
      <c r="A104" s="370"/>
      <c r="B104" s="370"/>
      <c r="C104" s="370"/>
      <c r="D104" s="370"/>
    </row>
    <row r="105" customHeight="1" spans="1:4">
      <c r="A105" s="370"/>
      <c r="B105" s="370"/>
      <c r="C105" s="370"/>
      <c r="D105" s="370"/>
    </row>
    <row r="106" customHeight="1" spans="1:4">
      <c r="A106" s="370"/>
      <c r="B106" s="370"/>
      <c r="C106" s="370"/>
      <c r="D106" s="370"/>
    </row>
    <row r="107" customHeight="1" spans="1:4">
      <c r="A107" s="372"/>
      <c r="B107" s="370"/>
      <c r="C107" s="370"/>
      <c r="D107" s="370"/>
    </row>
    <row r="108" customHeight="1" spans="1:4">
      <c r="A108" s="372"/>
      <c r="B108" s="370"/>
      <c r="C108" s="370"/>
      <c r="D108" s="370"/>
    </row>
    <row r="109" customHeight="1" spans="1:4">
      <c r="A109" s="372"/>
      <c r="B109" s="370"/>
      <c r="C109" s="370"/>
      <c r="D109" s="370"/>
    </row>
    <row r="110" customHeight="1" spans="1:4">
      <c r="A110" s="372"/>
      <c r="B110" s="370"/>
      <c r="C110" s="370"/>
      <c r="D110" s="370"/>
    </row>
    <row r="111" customHeight="1" spans="1:4">
      <c r="A111" s="372"/>
      <c r="B111" s="370"/>
      <c r="C111" s="370"/>
      <c r="D111" s="370"/>
    </row>
    <row r="112" customHeight="1" spans="1:4">
      <c r="A112" s="370"/>
      <c r="B112" s="370"/>
      <c r="C112" s="370"/>
      <c r="D112" s="370"/>
    </row>
    <row r="113" customHeight="1" spans="1:4">
      <c r="A113" s="370"/>
      <c r="B113" s="370"/>
      <c r="C113" s="370"/>
      <c r="D113" s="370"/>
    </row>
  </sheetData>
  <customSheetViews>
    <customSheetView guid="{27B96A40-A6B2-43F7-A93C-713F4207CB2A}">
      <selection activeCell="E10" sqref="E10"/>
      <pageMargins left="0.7" right="0.7" top="0.75" bottom="0.75" header="0.3" footer="0.3"/>
      <headerFooter/>
    </customSheetView>
  </customSheetViews>
  <mergeCells count="8">
    <mergeCell ref="A1:D1"/>
    <mergeCell ref="B12:D12"/>
    <mergeCell ref="C28:D28"/>
    <mergeCell ref="A4:A8"/>
    <mergeCell ref="A28:A29"/>
    <mergeCell ref="B28:B29"/>
    <mergeCell ref="A14:D22"/>
    <mergeCell ref="A23:D26"/>
  </mergeCells>
  <dataValidations count="1">
    <dataValidation type="list" allowBlank="1" showInputMessage="1" showErrorMessage="1" prompt="请选择" sqref="C10">
      <formula1>"HFZ/HFK复动型,HFTZ/HFTK常开型,HFSZ/HFSK常闭型"</formula1>
    </dataValidation>
  </dataValidations>
  <pageMargins left="0.7" right="0.7" top="0.75" bottom="0.75" header="0.3" footer="0.3"/>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66"/>
  <sheetViews>
    <sheetView workbookViewId="0">
      <selection activeCell="A11" sqref="A11:A15"/>
    </sheetView>
  </sheetViews>
  <sheetFormatPr defaultColWidth="15.625" defaultRowHeight="20.1" customHeight="1"/>
  <cols>
    <col min="1" max="1" width="13.375" style="82" customWidth="1"/>
    <col min="2" max="2" width="20" style="82" customWidth="1"/>
    <col min="3" max="3" width="11.125" style="83" customWidth="1"/>
    <col min="4" max="4" width="17.5" style="82" customWidth="1"/>
    <col min="5" max="5" width="5" style="82" customWidth="1"/>
    <col min="6" max="10" width="10.625" style="82" customWidth="1"/>
    <col min="11" max="11" width="8.875" style="82" customWidth="1"/>
    <col min="12" max="12" width="7.625" style="82" customWidth="1"/>
    <col min="13" max="13" width="7.125" style="82" customWidth="1"/>
    <col min="14" max="15" width="8.5" style="82" customWidth="1"/>
    <col min="16" max="20" width="10.625" style="82" customWidth="1"/>
    <col min="21" max="27" width="8.625" style="82" customWidth="1"/>
    <col min="28" max="16384" width="15.625" style="82"/>
  </cols>
  <sheetData>
    <row r="1" ht="21.95" customHeight="1" spans="1:8">
      <c r="A1" s="84" t="s">
        <v>1726</v>
      </c>
      <c r="B1" s="85"/>
      <c r="C1" s="85"/>
      <c r="D1" s="85"/>
      <c r="F1" s="146" t="s">
        <v>1727</v>
      </c>
      <c r="G1" s="1"/>
      <c r="H1" s="1"/>
    </row>
    <row r="2" customHeight="1" spans="1:30">
      <c r="A2" s="106" t="s">
        <v>1728</v>
      </c>
      <c r="F2" s="1"/>
      <c r="G2" s="1"/>
      <c r="H2" s="1"/>
      <c r="R2" s="114"/>
      <c r="S2" s="114"/>
      <c r="T2" s="114"/>
      <c r="V2" s="115"/>
      <c r="W2" s="115"/>
      <c r="X2" s="115"/>
      <c r="Y2" s="115"/>
      <c r="Z2" s="115"/>
      <c r="AA2" s="115"/>
      <c r="AB2" s="115"/>
      <c r="AC2" s="115"/>
      <c r="AD2" s="115"/>
    </row>
    <row r="3" customHeight="1" spans="1:30">
      <c r="A3" s="9" t="s">
        <v>269</v>
      </c>
      <c r="B3" s="9" t="s">
        <v>270</v>
      </c>
      <c r="C3" s="32" t="s">
        <v>271</v>
      </c>
      <c r="D3" s="9" t="s">
        <v>272</v>
      </c>
      <c r="F3" s="1"/>
      <c r="G3" s="1"/>
      <c r="H3" s="1"/>
      <c r="T3" s="114"/>
      <c r="V3" s="115"/>
      <c r="W3" s="115"/>
      <c r="X3" s="115"/>
      <c r="Y3" s="115"/>
      <c r="Z3" s="115"/>
      <c r="AA3" s="115"/>
      <c r="AB3" s="115"/>
      <c r="AC3" s="115"/>
      <c r="AD3" s="115"/>
    </row>
    <row r="4" customHeight="1" spans="1:30">
      <c r="A4" s="251" t="s">
        <v>1083</v>
      </c>
      <c r="B4" s="9" t="s">
        <v>1729</v>
      </c>
      <c r="C4" s="91">
        <v>100</v>
      </c>
      <c r="D4" s="9" t="str">
        <f>C4/10&amp;"cm"</f>
        <v>10cm</v>
      </c>
      <c r="F4" s="1"/>
      <c r="G4" s="1"/>
      <c r="H4" s="1"/>
      <c r="T4" s="114"/>
      <c r="W4" s="1"/>
      <c r="X4" s="1"/>
      <c r="Y4" s="1"/>
      <c r="Z4" s="1"/>
      <c r="AA4" s="1"/>
      <c r="AB4" s="1"/>
      <c r="AC4" s="1"/>
      <c r="AD4" s="1"/>
    </row>
    <row r="5" customHeight="1" spans="1:31">
      <c r="A5" s="252"/>
      <c r="B5" s="9" t="s">
        <v>1730</v>
      </c>
      <c r="C5" s="91">
        <v>300</v>
      </c>
      <c r="D5" s="123" t="s">
        <v>1731</v>
      </c>
      <c r="F5" s="1"/>
      <c r="G5" s="1"/>
      <c r="H5" s="1"/>
      <c r="T5" s="114"/>
      <c r="W5" s="114"/>
      <c r="X5" s="114"/>
      <c r="Y5" s="114"/>
      <c r="Z5" s="114"/>
      <c r="AA5" s="114"/>
      <c r="AB5" s="114"/>
      <c r="AC5" s="114"/>
      <c r="AD5" s="114"/>
      <c r="AE5" s="1"/>
    </row>
    <row r="6" customHeight="1" spans="1:31">
      <c r="A6" s="252"/>
      <c r="B6" s="9" t="s">
        <v>1732</v>
      </c>
      <c r="C6" s="91">
        <v>0.6</v>
      </c>
      <c r="D6" s="9" t="str">
        <f>C6*10&amp;"bar"</f>
        <v>6bar</v>
      </c>
      <c r="G6" s="1"/>
      <c r="H6" s="1"/>
      <c r="T6" s="114"/>
      <c r="W6" s="114"/>
      <c r="X6" s="114"/>
      <c r="Y6" s="114"/>
      <c r="Z6" s="114"/>
      <c r="AE6" s="114"/>
    </row>
    <row r="7" customHeight="1" spans="1:29">
      <c r="A7" s="255"/>
      <c r="B7" s="9" t="s">
        <v>1733</v>
      </c>
      <c r="C7" s="91">
        <v>0.5</v>
      </c>
      <c r="D7" s="9" t="str">
        <f t="shared" ref="D7:D8" si="0">C7*10&amp;"bar"</f>
        <v>5bar</v>
      </c>
      <c r="F7" s="1"/>
      <c r="G7" s="1"/>
      <c r="H7" s="1"/>
      <c r="U7" s="114"/>
      <c r="V7" s="114"/>
      <c r="W7" s="114"/>
      <c r="X7" s="114"/>
      <c r="Y7" s="114"/>
      <c r="Z7" s="114"/>
      <c r="AA7" s="114"/>
      <c r="AB7" s="114"/>
      <c r="AC7" s="114"/>
    </row>
    <row r="8" customHeight="1" spans="1:30">
      <c r="A8" s="271" t="s">
        <v>1734</v>
      </c>
      <c r="B8" s="9" t="s">
        <v>1735</v>
      </c>
      <c r="C8" s="128">
        <f>C6-C7</f>
        <v>0.1</v>
      </c>
      <c r="D8" s="9" t="str">
        <f t="shared" si="0"/>
        <v>1bar</v>
      </c>
      <c r="F8" s="146" t="s">
        <v>1736</v>
      </c>
      <c r="G8" s="1"/>
      <c r="H8" s="1"/>
      <c r="I8" s="1"/>
      <c r="J8" s="1"/>
      <c r="K8" s="1"/>
      <c r="L8" s="1"/>
      <c r="M8" s="1"/>
      <c r="V8" s="114"/>
      <c r="W8" s="114"/>
      <c r="X8" s="114"/>
      <c r="Y8" s="114"/>
      <c r="Z8" s="114"/>
      <c r="AA8" s="114"/>
      <c r="AB8" s="114"/>
      <c r="AC8" s="114"/>
      <c r="AD8" s="114"/>
    </row>
    <row r="9" customHeight="1" spans="1:23">
      <c r="A9" s="271"/>
      <c r="B9" s="9" t="s">
        <v>1737</v>
      </c>
      <c r="C9" s="97">
        <f>0.0462*(0.1*C4)^2*C5*(C6+0.102)</f>
        <v>972.972</v>
      </c>
      <c r="D9" s="9"/>
      <c r="F9" s="1"/>
      <c r="G9" s="1"/>
      <c r="H9" s="1"/>
      <c r="I9" s="1"/>
      <c r="J9" s="1"/>
      <c r="K9" s="1"/>
      <c r="L9" s="1"/>
      <c r="M9" s="1"/>
      <c r="U9" s="114"/>
      <c r="V9" s="114"/>
      <c r="W9" s="114"/>
    </row>
    <row r="10" customHeight="1" spans="1:15">
      <c r="A10" s="271"/>
      <c r="B10" s="9" t="s">
        <v>1738</v>
      </c>
      <c r="C10" s="111">
        <v>973</v>
      </c>
      <c r="D10" s="169" t="s">
        <v>1739</v>
      </c>
      <c r="F10" s="1"/>
      <c r="G10" s="1"/>
      <c r="H10" s="1"/>
      <c r="I10" s="1"/>
      <c r="J10" s="1"/>
      <c r="K10" s="1"/>
      <c r="L10" s="1"/>
      <c r="M10" s="1"/>
      <c r="O10" s="1"/>
    </row>
    <row r="11" customHeight="1" spans="1:13">
      <c r="A11" s="100" t="s">
        <v>1740</v>
      </c>
      <c r="B11" s="9" t="s">
        <v>1741</v>
      </c>
      <c r="C11" s="104">
        <f>C10/400/SQRT((10*C7+0.102)*(10*C8))</f>
        <v>1.07691796485082</v>
      </c>
      <c r="D11" s="251" t="s">
        <v>1742</v>
      </c>
      <c r="F11" s="1"/>
      <c r="G11" s="1"/>
      <c r="H11" s="1"/>
      <c r="I11" s="1"/>
      <c r="J11" s="1"/>
      <c r="K11" s="1"/>
      <c r="L11" s="1"/>
      <c r="M11" s="1"/>
    </row>
    <row r="12" customHeight="1" spans="1:27">
      <c r="A12" s="101"/>
      <c r="B12" s="9" t="s">
        <v>1743</v>
      </c>
      <c r="C12" s="104">
        <f>18*C11</f>
        <v>19.3845233673147</v>
      </c>
      <c r="D12" s="252"/>
      <c r="F12" s="1"/>
      <c r="G12" s="1"/>
      <c r="H12" s="1"/>
      <c r="I12" s="1"/>
      <c r="J12" s="1"/>
      <c r="K12" s="1"/>
      <c r="L12" s="1"/>
      <c r="M12" s="1"/>
      <c r="AA12" s="1"/>
    </row>
    <row r="13" customHeight="1" spans="1:27">
      <c r="A13" s="101"/>
      <c r="B13" s="9" t="s">
        <v>1744</v>
      </c>
      <c r="C13" s="128">
        <f>SQRT(4*C12/PI())</f>
        <v>4.96801184651445</v>
      </c>
      <c r="D13" s="252"/>
      <c r="F13" s="1"/>
      <c r="G13" s="1"/>
      <c r="H13" s="1"/>
      <c r="I13" s="1"/>
      <c r="J13" s="1"/>
      <c r="K13" s="1"/>
      <c r="L13" s="1"/>
      <c r="M13" s="1"/>
      <c r="AA13" s="1"/>
    </row>
    <row r="14" customHeight="1" spans="1:27">
      <c r="A14" s="101"/>
      <c r="B14" s="9" t="s">
        <v>1745</v>
      </c>
      <c r="C14" s="355"/>
      <c r="D14" s="252"/>
      <c r="F14" s="106"/>
      <c r="G14" s="1"/>
      <c r="H14" s="1"/>
      <c r="I14" s="1"/>
      <c r="J14" s="1"/>
      <c r="K14" s="1"/>
      <c r="L14" s="1"/>
      <c r="M14" s="1"/>
      <c r="AA14" s="1"/>
    </row>
    <row r="15" customHeight="1" spans="1:27">
      <c r="A15" s="110"/>
      <c r="B15" s="9" t="s">
        <v>1746</v>
      </c>
      <c r="C15" s="355"/>
      <c r="D15" s="255"/>
      <c r="F15" s="1"/>
      <c r="G15" s="1"/>
      <c r="H15" s="1"/>
      <c r="I15" s="1"/>
      <c r="J15" s="1"/>
      <c r="K15" s="1"/>
      <c r="L15" s="1"/>
      <c r="M15" s="1"/>
      <c r="AA15" s="1"/>
    </row>
    <row r="16" customHeight="1" spans="1:27">
      <c r="A16" s="100" t="s">
        <v>1747</v>
      </c>
      <c r="B16" s="9" t="s">
        <v>1748</v>
      </c>
      <c r="C16" s="91">
        <v>0.8</v>
      </c>
      <c r="D16" s="110"/>
      <c r="F16" s="1"/>
      <c r="G16" s="1"/>
      <c r="H16" s="1"/>
      <c r="I16" s="1"/>
      <c r="J16" s="1"/>
      <c r="K16" s="1"/>
      <c r="L16" s="1"/>
      <c r="M16" s="1"/>
      <c r="AA16" s="1"/>
    </row>
    <row r="17" customHeight="1" spans="1:27">
      <c r="A17" s="101"/>
      <c r="B17" s="9" t="s">
        <v>1749</v>
      </c>
      <c r="C17" s="32">
        <f>C6</f>
        <v>0.6</v>
      </c>
      <c r="D17" s="95" t="s">
        <v>1750</v>
      </c>
      <c r="F17" s="1"/>
      <c r="G17" s="1"/>
      <c r="H17" s="1"/>
      <c r="I17" s="1"/>
      <c r="J17" s="1"/>
      <c r="K17" s="1"/>
      <c r="L17" s="1"/>
      <c r="M17" s="1"/>
      <c r="AA17" s="1"/>
    </row>
    <row r="18" customHeight="1" spans="1:29">
      <c r="A18" s="101"/>
      <c r="B18" s="9" t="s">
        <v>1751</v>
      </c>
      <c r="C18" s="356">
        <f>C10*(0.7+0.1)/(C16+0.1)/0.75</f>
        <v>1153.18518518518</v>
      </c>
      <c r="D18" s="201" t="s">
        <v>1752</v>
      </c>
      <c r="F18" s="1"/>
      <c r="G18" s="1"/>
      <c r="H18" s="1"/>
      <c r="I18" s="1"/>
      <c r="J18" s="1"/>
      <c r="K18" s="1"/>
      <c r="L18" s="1"/>
      <c r="M18" s="1"/>
      <c r="AC18" s="1"/>
    </row>
    <row r="19" customHeight="1" spans="1:29">
      <c r="A19" s="101"/>
      <c r="B19" s="92" t="s">
        <v>1753</v>
      </c>
      <c r="C19" s="356"/>
      <c r="D19" s="202" t="s">
        <v>1754</v>
      </c>
      <c r="F19" s="1"/>
      <c r="G19" s="1"/>
      <c r="H19" s="1"/>
      <c r="I19" s="1"/>
      <c r="J19" s="1"/>
      <c r="K19" s="1"/>
      <c r="L19" s="1"/>
      <c r="M19" s="1"/>
      <c r="AC19" s="1"/>
    </row>
    <row r="20" customHeight="1" spans="1:29">
      <c r="A20" s="110"/>
      <c r="B20" s="92" t="s">
        <v>1755</v>
      </c>
      <c r="C20" s="355" t="s">
        <v>1756</v>
      </c>
      <c r="D20" s="95" t="s">
        <v>1754</v>
      </c>
      <c r="F20" s="1"/>
      <c r="G20" s="1"/>
      <c r="H20" s="1"/>
      <c r="I20" s="1"/>
      <c r="J20" s="1"/>
      <c r="K20" s="1"/>
      <c r="L20" s="1"/>
      <c r="M20" s="1"/>
      <c r="AC20" s="1"/>
    </row>
    <row r="21" customHeight="1" spans="1:29">
      <c r="A21" s="100" t="s">
        <v>1757</v>
      </c>
      <c r="B21" s="9" t="s">
        <v>1758</v>
      </c>
      <c r="C21" s="357">
        <v>60</v>
      </c>
      <c r="D21" s="9" t="str">
        <f>C21/10&amp;"cm"</f>
        <v>6cm</v>
      </c>
      <c r="F21" s="1"/>
      <c r="G21" s="1"/>
      <c r="H21" s="1"/>
      <c r="I21" s="1"/>
      <c r="J21" s="1"/>
      <c r="K21" s="1"/>
      <c r="L21" s="1"/>
      <c r="M21" s="1"/>
      <c r="AC21" s="1"/>
    </row>
    <row r="22" customHeight="1" spans="1:29">
      <c r="A22" s="101"/>
      <c r="B22" s="9" t="s">
        <v>1759</v>
      </c>
      <c r="C22" s="357">
        <v>100</v>
      </c>
      <c r="D22" s="9" t="str">
        <f>C22/10&amp;"cm"</f>
        <v>10cm</v>
      </c>
      <c r="F22" s="1" t="s">
        <v>1760</v>
      </c>
      <c r="G22" s="1"/>
      <c r="H22" s="1"/>
      <c r="I22" s="1"/>
      <c r="J22" s="1"/>
      <c r="K22" s="1"/>
      <c r="L22" s="1"/>
      <c r="M22" s="1"/>
      <c r="AC22" s="1"/>
    </row>
    <row r="23" customHeight="1" spans="1:29">
      <c r="A23" s="101"/>
      <c r="B23" s="9" t="s">
        <v>1761</v>
      </c>
      <c r="C23" s="357">
        <v>10</v>
      </c>
      <c r="D23" s="9" t="str">
        <f>C23/10&amp;"cm"</f>
        <v>1cm</v>
      </c>
      <c r="F23" s="1"/>
      <c r="G23" s="1"/>
      <c r="H23" s="1"/>
      <c r="I23" s="1"/>
      <c r="J23" s="1"/>
      <c r="K23" s="1"/>
      <c r="L23" s="1"/>
      <c r="M23" s="1"/>
      <c r="AC23" s="1"/>
    </row>
    <row r="24" customHeight="1" spans="1:29">
      <c r="A24" s="101"/>
      <c r="B24" s="9" t="s">
        <v>1762</v>
      </c>
      <c r="C24" s="357">
        <v>60</v>
      </c>
      <c r="D24" s="9" t="str">
        <f>C24/10&amp;"cm"</f>
        <v>6cm</v>
      </c>
      <c r="F24" s="1"/>
      <c r="G24" s="1"/>
      <c r="H24" s="1"/>
      <c r="I24" s="1"/>
      <c r="J24" s="1"/>
      <c r="K24" s="1"/>
      <c r="L24" s="1"/>
      <c r="M24" s="1"/>
      <c r="AC24" s="1"/>
    </row>
    <row r="25" customHeight="1" spans="1:28">
      <c r="A25" s="101"/>
      <c r="B25" s="9" t="s">
        <v>1763</v>
      </c>
      <c r="C25" s="104">
        <f>0.0157*((C4/10)^2*C22/10+(C23/10)^2*C24/10)*C21*(C6+0.102)</f>
        <v>665.251704</v>
      </c>
      <c r="D25" s="92" t="s">
        <v>1764</v>
      </c>
      <c r="F25" s="1"/>
      <c r="G25" s="1"/>
      <c r="H25" s="1"/>
      <c r="I25" s="1"/>
      <c r="J25" s="1"/>
      <c r="K25" s="1"/>
      <c r="L25" s="1"/>
      <c r="M25" s="1"/>
      <c r="AB25" s="1"/>
    </row>
    <row r="26" customHeight="1" spans="1:28">
      <c r="A26" s="110"/>
      <c r="B26" s="9" t="s">
        <v>1765</v>
      </c>
      <c r="C26" s="260"/>
      <c r="D26" s="92" t="s">
        <v>1766</v>
      </c>
      <c r="F26" s="1"/>
      <c r="G26" s="1"/>
      <c r="H26" s="1"/>
      <c r="I26" s="1"/>
      <c r="J26" s="1"/>
      <c r="K26" s="1"/>
      <c r="L26" s="1"/>
      <c r="M26" s="1"/>
      <c r="AB26" s="1"/>
    </row>
    <row r="27" customHeight="1" spans="6:28">
      <c r="F27" s="1"/>
      <c r="G27" s="1"/>
      <c r="H27" s="1"/>
      <c r="I27" s="1"/>
      <c r="J27" s="1"/>
      <c r="K27" s="1"/>
      <c r="L27" s="1"/>
      <c r="M27" s="1"/>
      <c r="AB27" s="1"/>
    </row>
    <row r="28" customHeight="1" spans="1:28">
      <c r="A28" s="274" t="s">
        <v>1767</v>
      </c>
      <c r="B28" s="274"/>
      <c r="C28" s="274"/>
      <c r="D28" s="274"/>
      <c r="F28" s="1"/>
      <c r="G28" s="1"/>
      <c r="H28" s="1"/>
      <c r="I28" s="1"/>
      <c r="J28" s="1"/>
      <c r="K28" s="1"/>
      <c r="L28" s="1"/>
      <c r="M28" s="1"/>
      <c r="AB28" s="1"/>
    </row>
    <row r="29" customHeight="1" spans="1:28">
      <c r="A29" s="277"/>
      <c r="B29" s="277"/>
      <c r="C29" s="277"/>
      <c r="D29" s="277"/>
      <c r="F29" s="1"/>
      <c r="G29" s="1"/>
      <c r="H29" s="1"/>
      <c r="I29" s="1"/>
      <c r="J29" s="1"/>
      <c r="K29" s="1"/>
      <c r="L29" s="1"/>
      <c r="M29" s="1"/>
      <c r="AB29" s="1"/>
    </row>
    <row r="30" customHeight="1" spans="1:28">
      <c r="A30" s="277"/>
      <c r="B30" s="277"/>
      <c r="C30" s="277"/>
      <c r="D30" s="277"/>
      <c r="F30" s="1"/>
      <c r="G30" s="1"/>
      <c r="H30" s="1"/>
      <c r="I30" s="1"/>
      <c r="J30" s="1"/>
      <c r="K30" s="1"/>
      <c r="L30" s="1"/>
      <c r="M30" s="1"/>
      <c r="P30" s="209"/>
      <c r="AB30" s="1"/>
    </row>
    <row r="31" customHeight="1" spans="1:28">
      <c r="A31" s="277"/>
      <c r="B31" s="277"/>
      <c r="C31" s="277"/>
      <c r="D31" s="277"/>
      <c r="F31" s="1"/>
      <c r="G31" s="1"/>
      <c r="H31" s="1"/>
      <c r="I31" s="1"/>
      <c r="J31" s="1"/>
      <c r="K31" s="1"/>
      <c r="L31" s="1"/>
      <c r="M31" s="1"/>
      <c r="P31" s="209"/>
      <c r="AB31" s="1"/>
    </row>
    <row r="32" customHeight="1" spans="1:28">
      <c r="A32" s="277"/>
      <c r="B32" s="277"/>
      <c r="C32" s="277"/>
      <c r="D32" s="277"/>
      <c r="F32" s="1"/>
      <c r="G32" s="1"/>
      <c r="H32" s="1"/>
      <c r="I32" s="1"/>
      <c r="J32" s="1"/>
      <c r="K32" s="1"/>
      <c r="L32" s="1"/>
      <c r="M32" s="1"/>
      <c r="P32" s="209"/>
      <c r="AB32" s="1"/>
    </row>
    <row r="33" customHeight="1" spans="1:29">
      <c r="A33" s="277"/>
      <c r="B33" s="277"/>
      <c r="C33" s="277"/>
      <c r="D33" s="277"/>
      <c r="F33" s="1"/>
      <c r="G33" s="1"/>
      <c r="H33" s="1"/>
      <c r="K33" s="209"/>
      <c r="AC33" s="1"/>
    </row>
    <row r="34" customHeight="1" spans="1:29">
      <c r="A34" s="277"/>
      <c r="B34" s="277"/>
      <c r="C34" s="277"/>
      <c r="D34" s="277"/>
      <c r="F34" s="1"/>
      <c r="G34" s="1"/>
      <c r="H34" s="1"/>
      <c r="K34" s="209"/>
      <c r="AC34" s="1"/>
    </row>
    <row r="35" customHeight="1" spans="1:29">
      <c r="A35" s="277"/>
      <c r="B35" s="277"/>
      <c r="C35" s="277"/>
      <c r="D35" s="277"/>
      <c r="F35" s="1"/>
      <c r="G35" s="1"/>
      <c r="H35" s="1"/>
      <c r="K35" s="209"/>
      <c r="AC35" s="1"/>
    </row>
    <row r="36" customHeight="1" spans="1:29">
      <c r="A36" s="277"/>
      <c r="B36" s="277"/>
      <c r="C36" s="277"/>
      <c r="D36" s="277"/>
      <c r="F36" s="1"/>
      <c r="G36" s="1"/>
      <c r="H36" s="1"/>
      <c r="I36" s="1"/>
      <c r="J36" s="1"/>
      <c r="K36" s="1"/>
      <c r="L36" s="1"/>
      <c r="M36" s="1"/>
      <c r="AC36" s="1"/>
    </row>
    <row r="37" customHeight="1" spans="1:29">
      <c r="A37" s="277"/>
      <c r="B37" s="277"/>
      <c r="C37" s="277"/>
      <c r="D37" s="277"/>
      <c r="F37" s="1"/>
      <c r="G37" s="1"/>
      <c r="H37" s="1"/>
      <c r="I37" s="1"/>
      <c r="J37" s="1"/>
      <c r="K37" s="1"/>
      <c r="L37" s="1"/>
      <c r="M37" s="1"/>
      <c r="AC37" s="1"/>
    </row>
    <row r="38" customHeight="1" spans="1:29">
      <c r="A38" s="277"/>
      <c r="B38" s="277"/>
      <c r="C38" s="277"/>
      <c r="D38" s="277"/>
      <c r="F38" s="1"/>
      <c r="G38" s="1"/>
      <c r="H38" s="1"/>
      <c r="I38" s="1"/>
      <c r="J38" s="1"/>
      <c r="K38" s="1"/>
      <c r="L38" s="1"/>
      <c r="M38" s="1"/>
      <c r="AC38" s="1"/>
    </row>
    <row r="39" customHeight="1" spans="1:29">
      <c r="A39" s="277"/>
      <c r="B39" s="277"/>
      <c r="C39" s="277"/>
      <c r="D39" s="277"/>
      <c r="F39" s="1"/>
      <c r="G39" s="1"/>
      <c r="H39" s="1"/>
      <c r="I39" s="1"/>
      <c r="J39" s="1"/>
      <c r="K39" s="1"/>
      <c r="L39" s="1"/>
      <c r="M39" s="1"/>
      <c r="AC39" s="1"/>
    </row>
    <row r="40" customHeight="1" spans="1:29">
      <c r="A40" s="277"/>
      <c r="B40" s="277"/>
      <c r="C40" s="277"/>
      <c r="D40" s="277"/>
      <c r="F40" s="1"/>
      <c r="G40" s="1"/>
      <c r="H40" s="1"/>
      <c r="I40" s="1"/>
      <c r="J40" s="1"/>
      <c r="K40" s="1"/>
      <c r="L40" s="1"/>
      <c r="M40" s="1"/>
      <c r="X40" s="1"/>
      <c r="AC40" s="1"/>
    </row>
    <row r="41" customHeight="1" spans="1:29">
      <c r="A41" s="277"/>
      <c r="B41" s="277"/>
      <c r="C41" s="277"/>
      <c r="D41" s="277"/>
      <c r="F41" s="1"/>
      <c r="G41" s="1"/>
      <c r="H41" s="1"/>
      <c r="I41" s="1"/>
      <c r="J41" s="1"/>
      <c r="K41" s="1"/>
      <c r="L41" s="1"/>
      <c r="M41" s="1"/>
      <c r="X41" s="1"/>
      <c r="AC41" s="1"/>
    </row>
    <row r="42" customHeight="1" spans="1:29">
      <c r="A42" s="277"/>
      <c r="B42" s="277"/>
      <c r="C42" s="277"/>
      <c r="D42" s="277"/>
      <c r="F42" s="1"/>
      <c r="G42" s="1"/>
      <c r="H42" s="1"/>
      <c r="I42" s="1"/>
      <c r="J42" s="1"/>
      <c r="K42" s="1"/>
      <c r="L42" s="1"/>
      <c r="M42" s="1"/>
      <c r="X42" s="1"/>
      <c r="AC42" s="1"/>
    </row>
    <row r="43" customHeight="1" spans="1:29">
      <c r="A43" s="353"/>
      <c r="B43" s="353"/>
      <c r="C43" s="353"/>
      <c r="D43" s="353"/>
      <c r="F43" s="1"/>
      <c r="G43" s="1"/>
      <c r="H43" s="1"/>
      <c r="I43" s="1"/>
      <c r="J43" s="1"/>
      <c r="K43" s="1"/>
      <c r="L43" s="1"/>
      <c r="M43" s="1"/>
      <c r="AC43" s="1"/>
    </row>
    <row r="44" customHeight="1" spans="1:29">
      <c r="A44" s="240" t="s">
        <v>1768</v>
      </c>
      <c r="B44" s="241"/>
      <c r="C44" s="241"/>
      <c r="D44" s="242"/>
      <c r="F44" s="1" t="s">
        <v>1769</v>
      </c>
      <c r="G44" s="1"/>
      <c r="H44" s="1"/>
      <c r="I44" s="1"/>
      <c r="J44" s="1"/>
      <c r="K44" s="1"/>
      <c r="L44" s="1"/>
      <c r="M44" s="1"/>
      <c r="AC44" s="1"/>
    </row>
    <row r="45" customHeight="1" spans="1:29">
      <c r="A45" s="243"/>
      <c r="B45" s="244"/>
      <c r="C45" s="244"/>
      <c r="D45" s="245"/>
      <c r="F45" s="1"/>
      <c r="G45" s="1"/>
      <c r="H45" s="1"/>
      <c r="I45" s="1"/>
      <c r="J45" s="1"/>
      <c r="K45" s="1"/>
      <c r="L45" s="1"/>
      <c r="M45" s="1"/>
      <c r="AC45" s="1"/>
    </row>
    <row r="46" customHeight="1" spans="1:13">
      <c r="A46" s="243"/>
      <c r="B46" s="244"/>
      <c r="C46" s="244"/>
      <c r="D46" s="245"/>
      <c r="F46" s="1"/>
      <c r="G46" s="1"/>
      <c r="H46" s="1"/>
      <c r="I46" s="1"/>
      <c r="J46" s="1"/>
      <c r="K46" s="1"/>
      <c r="L46" s="1"/>
      <c r="M46" s="1"/>
    </row>
    <row r="47" customHeight="1" spans="1:13">
      <c r="A47" s="246"/>
      <c r="B47" s="247"/>
      <c r="C47" s="247"/>
      <c r="D47" s="248"/>
      <c r="F47" s="1"/>
      <c r="G47" s="1"/>
      <c r="H47" s="1"/>
      <c r="I47" s="1"/>
      <c r="J47" s="1"/>
      <c r="K47" s="1"/>
      <c r="L47" s="1"/>
      <c r="M47" s="1"/>
    </row>
    <row r="48" customHeight="1" spans="1:13">
      <c r="A48" s="106" t="s">
        <v>1770</v>
      </c>
      <c r="F48" s="1"/>
      <c r="G48" s="1"/>
      <c r="H48" s="1"/>
      <c r="I48" s="1"/>
      <c r="J48" s="1"/>
      <c r="K48" s="1"/>
      <c r="L48" s="1"/>
      <c r="M48" s="1"/>
    </row>
    <row r="49" customHeight="1" spans="6:29">
      <c r="F49" s="1"/>
      <c r="G49" s="1"/>
      <c r="H49" s="1"/>
      <c r="I49" s="1"/>
      <c r="J49" s="1"/>
      <c r="K49" s="1"/>
      <c r="L49" s="1"/>
      <c r="M49" s="1"/>
      <c r="AC49" s="1"/>
    </row>
    <row r="50" customHeight="1" spans="10:29">
      <c r="J50" s="1"/>
      <c r="K50" s="1"/>
      <c r="L50" s="1"/>
      <c r="M50" s="1"/>
      <c r="AC50" s="1"/>
    </row>
    <row r="51" customHeight="1" spans="10:29">
      <c r="J51" s="1"/>
      <c r="K51" s="1"/>
      <c r="L51" s="1"/>
      <c r="M51" s="1"/>
      <c r="AC51" s="1"/>
    </row>
    <row r="52" customHeight="1" spans="10:29">
      <c r="J52" s="1"/>
      <c r="K52" s="1"/>
      <c r="L52" s="1"/>
      <c r="M52" s="1"/>
      <c r="AC52" s="1"/>
    </row>
    <row r="53" customHeight="1" spans="10:29">
      <c r="J53" s="1"/>
      <c r="K53" s="1"/>
      <c r="L53" s="1"/>
      <c r="M53" s="1"/>
      <c r="AC53" s="1"/>
    </row>
    <row r="54" customHeight="1" spans="6:29">
      <c r="F54" s="1"/>
      <c r="G54" s="1"/>
      <c r="H54" s="1"/>
      <c r="I54" s="1"/>
      <c r="J54" s="1"/>
      <c r="K54" s="1"/>
      <c r="L54" s="1"/>
      <c r="M54" s="1"/>
      <c r="AC54" s="1"/>
    </row>
    <row r="55" customHeight="1" spans="6:29">
      <c r="F55" s="1"/>
      <c r="G55" s="1"/>
      <c r="H55" s="1"/>
      <c r="I55" s="1"/>
      <c r="J55" s="1"/>
      <c r="K55" s="1"/>
      <c r="L55" s="1"/>
      <c r="M55" s="1"/>
      <c r="AC55" s="1"/>
    </row>
    <row r="56" customHeight="1" spans="6:29">
      <c r="F56" s="1"/>
      <c r="G56" s="1"/>
      <c r="H56" s="1"/>
      <c r="I56" s="1"/>
      <c r="J56" s="1"/>
      <c r="K56" s="1"/>
      <c r="AC56" s="1"/>
    </row>
    <row r="57" customHeight="1" spans="6:29">
      <c r="F57" s="1"/>
      <c r="G57" s="1"/>
      <c r="H57" s="1"/>
      <c r="I57" s="1"/>
      <c r="J57" s="1"/>
      <c r="K57" s="1"/>
      <c r="AC57" s="1"/>
    </row>
    <row r="58" customHeight="1" spans="6:29">
      <c r="F58" s="1" t="s">
        <v>1771</v>
      </c>
      <c r="G58" s="1"/>
      <c r="H58" s="1"/>
      <c r="I58" s="1"/>
      <c r="J58" s="1"/>
      <c r="K58" s="1"/>
      <c r="AC58" s="1"/>
    </row>
    <row r="59" customHeight="1" spans="11:29">
      <c r="K59" s="1"/>
      <c r="AC59" s="1"/>
    </row>
    <row r="60" customHeight="1" spans="29:29">
      <c r="AC60" s="1"/>
    </row>
    <row r="61" customHeight="1" spans="29:29">
      <c r="AC61" s="1"/>
    </row>
    <row r="62" customHeight="1" spans="29:29">
      <c r="AC62" s="1"/>
    </row>
    <row r="63" customHeight="1" spans="29:29">
      <c r="AC63" s="1"/>
    </row>
    <row r="64" customHeight="1" spans="29:29">
      <c r="AC64" s="1"/>
    </row>
    <row r="65" customHeight="1" spans="29:29">
      <c r="AC65" s="1"/>
    </row>
    <row r="66" customHeight="1" spans="29:29">
      <c r="AC66" s="1"/>
    </row>
  </sheetData>
  <customSheetViews>
    <customSheetView guid="{27B96A40-A6B2-43F7-A93C-713F4207CB2A}">
      <selection activeCell="Q17" sqref="Q17"/>
      <pageMargins left="0.7" right="0.7" top="0.75" bottom="0.75" header="0.3" footer="0.3"/>
      <pageSetup paperSize="9" orientation="portrait"/>
      <headerFooter/>
    </customSheetView>
  </customSheetViews>
  <mergeCells count="9">
    <mergeCell ref="A1:D1"/>
    <mergeCell ref="A4:A7"/>
    <mergeCell ref="A8:A10"/>
    <mergeCell ref="A11:A15"/>
    <mergeCell ref="A16:A20"/>
    <mergeCell ref="A21:A26"/>
    <mergeCell ref="D11:D15"/>
    <mergeCell ref="A28:D43"/>
    <mergeCell ref="A44:D47"/>
  </mergeCells>
  <pageMargins left="0.7" right="0.7" top="0.75" bottom="0.75" header="0.3" footer="0.3"/>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51"/>
  <sheetViews>
    <sheetView workbookViewId="0">
      <selection activeCell="A1" sqref="A1:D1"/>
    </sheetView>
  </sheetViews>
  <sheetFormatPr defaultColWidth="9" defaultRowHeight="15.95" customHeight="1"/>
  <cols>
    <col min="1" max="1" width="15.625" style="893" customWidth="1"/>
    <col min="2" max="2" width="12.625" style="893" customWidth="1"/>
    <col min="3" max="3" width="11.75" style="893" customWidth="1"/>
    <col min="4" max="4" width="15.625" style="893" customWidth="1"/>
    <col min="5" max="5" width="3.375" style="894" customWidth="1"/>
    <col min="6" max="6" width="17.75" style="893" customWidth="1"/>
    <col min="7" max="7" width="10.75" style="893" customWidth="1"/>
    <col min="8" max="8" width="7" style="894" customWidth="1"/>
    <col min="9" max="9" width="15.625" style="894" customWidth="1"/>
    <col min="10" max="10" width="16.125" style="894" customWidth="1"/>
    <col min="11" max="11" width="16.5" style="894" customWidth="1"/>
    <col min="12" max="13" width="15.625" style="894" customWidth="1"/>
    <col min="14" max="16384" width="9" style="894"/>
  </cols>
  <sheetData>
    <row r="1" ht="21.95" customHeight="1" spans="1:4">
      <c r="A1" s="1200" t="s">
        <v>50</v>
      </c>
      <c r="B1" s="968"/>
      <c r="C1" s="968"/>
      <c r="D1" s="968"/>
    </row>
    <row r="2" customHeight="1" spans="1:11">
      <c r="A2" s="1201" t="s">
        <v>51</v>
      </c>
      <c r="B2" s="1202" t="s">
        <v>52</v>
      </c>
      <c r="C2" s="1203" t="s">
        <v>53</v>
      </c>
      <c r="D2" s="1204" t="str">
        <f>IF(B2=F12,"20",IF(B2=F13,"25",IF(B2=F14,"30",IF(B2=F15,"30",IF(B2=F16,"40",IF(B2=F17,"52",IF(B2=F18,"52",IF(B2=F19,"52","error"))))))))</f>
        <v>52</v>
      </c>
      <c r="F2" s="1205" t="s">
        <v>54</v>
      </c>
      <c r="G2" s="1206"/>
      <c r="I2" s="1228" t="s">
        <v>55</v>
      </c>
      <c r="J2" s="1228"/>
      <c r="K2" s="1228"/>
    </row>
    <row r="3" customHeight="1" spans="6:11">
      <c r="F3" s="1207" t="s">
        <v>56</v>
      </c>
      <c r="G3" s="1207" t="s">
        <v>57</v>
      </c>
      <c r="I3" s="1228"/>
      <c r="J3" s="1228"/>
      <c r="K3" s="1228"/>
    </row>
    <row r="4" customHeight="1" spans="1:11">
      <c r="A4" s="1208" t="s">
        <v>58</v>
      </c>
      <c r="B4" s="1208"/>
      <c r="C4" s="1208"/>
      <c r="D4" s="1208"/>
      <c r="F4" s="1209" t="s">
        <v>59</v>
      </c>
      <c r="G4" s="1209">
        <v>0.1</v>
      </c>
      <c r="I4" s="1228"/>
      <c r="J4" s="1228"/>
      <c r="K4" s="1228"/>
    </row>
    <row r="5" customHeight="1" spans="1:11">
      <c r="A5" s="1210" t="s">
        <v>60</v>
      </c>
      <c r="B5" s="1210"/>
      <c r="C5" s="1210"/>
      <c r="D5" s="1210"/>
      <c r="F5" s="1209" t="s">
        <v>61</v>
      </c>
      <c r="G5" s="1209">
        <v>0.2</v>
      </c>
      <c r="I5" s="1228"/>
      <c r="J5" s="1228"/>
      <c r="K5" s="1228"/>
    </row>
    <row r="6" customHeight="1" spans="1:11">
      <c r="A6" s="1211" t="s">
        <v>62</v>
      </c>
      <c r="B6" s="1211" t="s">
        <v>63</v>
      </c>
      <c r="C6" s="1211" t="s">
        <v>64</v>
      </c>
      <c r="D6" s="1211" t="s">
        <v>65</v>
      </c>
      <c r="E6" s="1212"/>
      <c r="F6" s="1209" t="s">
        <v>66</v>
      </c>
      <c r="G6" s="1209">
        <v>0.5</v>
      </c>
      <c r="I6" s="1228"/>
      <c r="J6" s="1228"/>
      <c r="K6" s="1228"/>
    </row>
    <row r="7" customHeight="1" spans="1:11">
      <c r="A7" s="1211" t="s">
        <v>67</v>
      </c>
      <c r="B7" s="1211" t="s">
        <v>68</v>
      </c>
      <c r="C7" s="1213">
        <v>1000</v>
      </c>
      <c r="D7" s="1211" t="s">
        <v>69</v>
      </c>
      <c r="E7" s="1212"/>
      <c r="F7" s="1209" t="s">
        <v>70</v>
      </c>
      <c r="G7" s="1209" t="s">
        <v>71</v>
      </c>
      <c r="I7" s="1228"/>
      <c r="J7" s="1228"/>
      <c r="K7" s="1228"/>
    </row>
    <row r="8" customHeight="1" spans="1:11">
      <c r="A8" s="1211" t="s">
        <v>72</v>
      </c>
      <c r="B8" s="1211" t="s">
        <v>73</v>
      </c>
      <c r="C8" s="1213">
        <v>60</v>
      </c>
      <c r="D8" s="1211"/>
      <c r="E8" s="1212"/>
      <c r="I8" s="1228"/>
      <c r="J8" s="1228"/>
      <c r="K8" s="1228"/>
    </row>
    <row r="9" customHeight="1" spans="1:11">
      <c r="A9" s="1211" t="s">
        <v>74</v>
      </c>
      <c r="B9" s="1211" t="s">
        <v>75</v>
      </c>
      <c r="C9" s="1213">
        <v>0.5</v>
      </c>
      <c r="D9" s="1201" t="s">
        <v>76</v>
      </c>
      <c r="E9" s="1214"/>
      <c r="I9" s="1228"/>
      <c r="J9" s="1228"/>
      <c r="K9" s="1228"/>
    </row>
    <row r="10" customHeight="1" spans="1:11">
      <c r="A10" s="1211" t="s">
        <v>77</v>
      </c>
      <c r="B10" s="1211" t="s">
        <v>78</v>
      </c>
      <c r="C10" s="1215">
        <f>ABS((2*PI()*C8)/60/C9)</f>
        <v>12.5663706143592</v>
      </c>
      <c r="D10" s="1216" t="s">
        <v>79</v>
      </c>
      <c r="E10" s="1217"/>
      <c r="F10" s="1205" t="s">
        <v>80</v>
      </c>
      <c r="G10" s="1206"/>
      <c r="I10" s="1228"/>
      <c r="J10" s="1228"/>
      <c r="K10" s="1228"/>
    </row>
    <row r="11" customHeight="1" spans="1:11">
      <c r="A11" s="1211" t="s">
        <v>81</v>
      </c>
      <c r="B11" s="1211" t="s">
        <v>82</v>
      </c>
      <c r="C11" s="1215">
        <f>C7*C10/1000</f>
        <v>12.5663706143592</v>
      </c>
      <c r="D11" s="1211"/>
      <c r="E11" s="1212"/>
      <c r="F11" s="1207" t="s">
        <v>83</v>
      </c>
      <c r="G11" s="1207" t="s">
        <v>53</v>
      </c>
      <c r="I11" s="1228"/>
      <c r="J11" s="1228"/>
      <c r="K11" s="1228"/>
    </row>
    <row r="12" customHeight="1" spans="1:11">
      <c r="A12" s="1211" t="s">
        <v>84</v>
      </c>
      <c r="B12" s="1211" t="s">
        <v>85</v>
      </c>
      <c r="C12" s="1218">
        <f>(16*C11*1000/(D2*PI()))^(1/3)</f>
        <v>10.7166457967425</v>
      </c>
      <c r="D12" s="1211"/>
      <c r="E12" s="1212"/>
      <c r="F12" s="1209" t="s">
        <v>86</v>
      </c>
      <c r="G12" s="1209">
        <v>20</v>
      </c>
      <c r="I12" s="1228"/>
      <c r="J12" s="1228"/>
      <c r="K12" s="1228"/>
    </row>
    <row r="13" customHeight="1" spans="1:11">
      <c r="A13" s="1217"/>
      <c r="B13" s="1217"/>
      <c r="C13" s="1217"/>
      <c r="D13" s="1217"/>
      <c r="E13" s="1212"/>
      <c r="F13" s="1209">
        <v>30</v>
      </c>
      <c r="G13" s="1209">
        <v>25</v>
      </c>
      <c r="H13" s="1026"/>
      <c r="I13" s="1228"/>
      <c r="J13" s="1228"/>
      <c r="K13" s="1228"/>
    </row>
    <row r="14" customHeight="1" spans="1:11">
      <c r="A14" s="1210" t="s">
        <v>87</v>
      </c>
      <c r="B14" s="1210"/>
      <c r="C14" s="1210"/>
      <c r="D14" s="1210"/>
      <c r="F14" s="1209" t="s">
        <v>88</v>
      </c>
      <c r="G14" s="1209">
        <v>30</v>
      </c>
      <c r="I14" s="1228"/>
      <c r="J14" s="1228"/>
      <c r="K14" s="1228"/>
    </row>
    <row r="15" customHeight="1" spans="1:11">
      <c r="A15" s="1211" t="s">
        <v>62</v>
      </c>
      <c r="B15" s="1211" t="s">
        <v>63</v>
      </c>
      <c r="C15" s="1213" t="s">
        <v>64</v>
      </c>
      <c r="D15" s="1211" t="s">
        <v>65</v>
      </c>
      <c r="F15" s="1209" t="s">
        <v>89</v>
      </c>
      <c r="G15" s="1209">
        <v>30</v>
      </c>
      <c r="I15" s="1228"/>
      <c r="J15" s="1228"/>
      <c r="K15" s="1228"/>
    </row>
    <row r="16" customHeight="1" spans="1:11">
      <c r="A16" s="1211" t="s">
        <v>90</v>
      </c>
      <c r="B16" s="1211" t="s">
        <v>91</v>
      </c>
      <c r="C16" s="1072"/>
      <c r="D16" s="1201"/>
      <c r="F16" s="1209">
        <v>45</v>
      </c>
      <c r="G16" s="1209">
        <v>40</v>
      </c>
      <c r="I16" s="1228"/>
      <c r="J16" s="1228"/>
      <c r="K16" s="1228"/>
    </row>
    <row r="17" customHeight="1" spans="1:7">
      <c r="A17" s="1211" t="s">
        <v>92</v>
      </c>
      <c r="B17" s="1211" t="s">
        <v>85</v>
      </c>
      <c r="C17" s="1072"/>
      <c r="D17" s="1201"/>
      <c r="F17" s="1209" t="s">
        <v>52</v>
      </c>
      <c r="G17" s="1209">
        <v>52</v>
      </c>
    </row>
    <row r="18" customHeight="1" spans="1:11">
      <c r="A18" s="1211" t="s">
        <v>81</v>
      </c>
      <c r="B18" s="1211" t="s">
        <v>82</v>
      </c>
      <c r="C18" s="1211">
        <f>C16*C17/1000</f>
        <v>0</v>
      </c>
      <c r="D18" s="1201"/>
      <c r="F18" s="1209" t="s">
        <v>93</v>
      </c>
      <c r="G18" s="1209">
        <v>52</v>
      </c>
      <c r="I18" s="1229" t="s">
        <v>94</v>
      </c>
      <c r="J18" s="1229"/>
      <c r="K18" s="1229"/>
    </row>
    <row r="19" customHeight="1" spans="1:11">
      <c r="A19" s="1211" t="s">
        <v>84</v>
      </c>
      <c r="B19" s="1211" t="s">
        <v>85</v>
      </c>
      <c r="C19" s="1219">
        <f>(16*C18*1000/(D2*PI()))^(1/3)</f>
        <v>0</v>
      </c>
      <c r="D19" s="1211"/>
      <c r="F19" s="1209" t="s">
        <v>95</v>
      </c>
      <c r="G19" s="1209">
        <v>52</v>
      </c>
      <c r="I19" s="1229"/>
      <c r="J19" s="1229"/>
      <c r="K19" s="1229"/>
    </row>
    <row r="20" customHeight="1" spans="9:11">
      <c r="I20" s="1229"/>
      <c r="J20" s="1229"/>
      <c r="K20" s="1229"/>
    </row>
    <row r="21" customHeight="1" spans="1:11">
      <c r="A21" s="1220" t="s">
        <v>96</v>
      </c>
      <c r="B21" s="1220"/>
      <c r="C21" s="1220"/>
      <c r="D21" s="1220"/>
      <c r="I21" s="1229"/>
      <c r="J21" s="1229"/>
      <c r="K21" s="1229"/>
    </row>
    <row r="22" customHeight="1" spans="1:11">
      <c r="A22" s="1211" t="s">
        <v>97</v>
      </c>
      <c r="B22" s="1211" t="s">
        <v>63</v>
      </c>
      <c r="C22" s="1211" t="s">
        <v>64</v>
      </c>
      <c r="D22" s="1211" t="s">
        <v>65</v>
      </c>
      <c r="F22" s="1205" t="s">
        <v>98</v>
      </c>
      <c r="G22" s="1206"/>
      <c r="I22" s="1229"/>
      <c r="J22" s="1229"/>
      <c r="K22" s="1229"/>
    </row>
    <row r="23" customHeight="1" spans="1:11">
      <c r="A23" s="1211" t="s">
        <v>99</v>
      </c>
      <c r="B23" s="1211" t="s">
        <v>100</v>
      </c>
      <c r="C23" s="1072">
        <v>4.25</v>
      </c>
      <c r="D23" s="1201"/>
      <c r="F23" s="1207" t="s">
        <v>101</v>
      </c>
      <c r="G23" s="1207" t="s">
        <v>102</v>
      </c>
      <c r="I23" s="1229"/>
      <c r="J23" s="1229"/>
      <c r="K23" s="1229"/>
    </row>
    <row r="24" customHeight="1" spans="1:7">
      <c r="A24" s="1211" t="s">
        <v>103</v>
      </c>
      <c r="B24" s="1211" t="s">
        <v>73</v>
      </c>
      <c r="C24" s="1072">
        <v>33</v>
      </c>
      <c r="D24" s="1201"/>
      <c r="F24" s="1209" t="s">
        <v>104</v>
      </c>
      <c r="G24" s="1209">
        <v>79.4</v>
      </c>
    </row>
    <row r="25" customHeight="1" spans="1:7">
      <c r="A25" s="1211" t="s">
        <v>105</v>
      </c>
      <c r="B25" s="1211" t="s">
        <v>82</v>
      </c>
      <c r="C25" s="1221">
        <f>9549.297*C23/C24</f>
        <v>1229.83370454545</v>
      </c>
      <c r="D25" s="1201"/>
      <c r="F25" s="1209" t="s">
        <v>106</v>
      </c>
      <c r="G25" s="1209">
        <v>79.4</v>
      </c>
    </row>
    <row r="26" customHeight="1" spans="1:7">
      <c r="A26" s="1211" t="s">
        <v>84</v>
      </c>
      <c r="B26" s="1211" t="s">
        <v>85</v>
      </c>
      <c r="C26" s="1218">
        <f>(16*C25*1000/(D2*PI()))^(1/3)</f>
        <v>49.3860606922218</v>
      </c>
      <c r="D26" s="1211"/>
      <c r="F26" s="1209" t="s">
        <v>107</v>
      </c>
      <c r="G26" s="1209">
        <v>44</v>
      </c>
    </row>
    <row r="27" customHeight="1" spans="6:7">
      <c r="F27" s="1209" t="s">
        <v>108</v>
      </c>
      <c r="G27" s="1209" t="s">
        <v>109</v>
      </c>
    </row>
    <row r="28" customHeight="1" spans="1:7">
      <c r="A28" s="1208" t="s">
        <v>110</v>
      </c>
      <c r="B28" s="1208"/>
      <c r="C28" s="1208"/>
      <c r="D28" s="1208"/>
      <c r="F28" s="1209" t="s">
        <v>111</v>
      </c>
      <c r="G28" s="1209">
        <v>39</v>
      </c>
    </row>
    <row r="29" customHeight="1" spans="1:7">
      <c r="A29" s="1210" t="s">
        <v>112</v>
      </c>
      <c r="B29" s="1210"/>
      <c r="C29" s="1210"/>
      <c r="D29" s="1210"/>
      <c r="F29" s="1209" t="s">
        <v>113</v>
      </c>
      <c r="G29" s="1209">
        <v>41</v>
      </c>
    </row>
    <row r="30" customHeight="1" spans="1:7">
      <c r="A30" s="1211" t="s">
        <v>114</v>
      </c>
      <c r="B30" s="1211" t="s">
        <v>63</v>
      </c>
      <c r="C30" s="1211" t="s">
        <v>64</v>
      </c>
      <c r="D30" s="1211" t="s">
        <v>65</v>
      </c>
      <c r="F30" s="1209" t="s">
        <v>115</v>
      </c>
      <c r="G30" s="1209">
        <v>26</v>
      </c>
    </row>
    <row r="31" customHeight="1" spans="1:7">
      <c r="A31" s="1201" t="s">
        <v>116</v>
      </c>
      <c r="B31" s="1211" t="s">
        <v>100</v>
      </c>
      <c r="C31" s="1072">
        <v>1</v>
      </c>
      <c r="D31" s="1201"/>
      <c r="F31" s="1209" t="s">
        <v>117</v>
      </c>
      <c r="G31" s="1209" t="s">
        <v>118</v>
      </c>
    </row>
    <row r="32" customHeight="1" spans="1:7">
      <c r="A32" s="1201" t="s">
        <v>103</v>
      </c>
      <c r="B32" s="1211" t="s">
        <v>73</v>
      </c>
      <c r="C32" s="1072">
        <v>1400</v>
      </c>
      <c r="D32" s="1201"/>
      <c r="F32" s="1209" t="s">
        <v>119</v>
      </c>
      <c r="G32" s="1209">
        <v>0.5</v>
      </c>
    </row>
    <row r="33" customHeight="1" spans="1:4">
      <c r="A33" s="1201" t="s">
        <v>120</v>
      </c>
      <c r="B33" s="1211" t="s">
        <v>85</v>
      </c>
      <c r="C33" s="1072">
        <v>10</v>
      </c>
      <c r="D33" s="1201"/>
    </row>
    <row r="34" customHeight="1" spans="1:4">
      <c r="A34" s="1201" t="s">
        <v>121</v>
      </c>
      <c r="B34" s="1211" t="s">
        <v>82</v>
      </c>
      <c r="C34" s="1222">
        <f>9549.297*C31/C32</f>
        <v>6.82092642857143</v>
      </c>
      <c r="D34" s="1201" t="s">
        <v>122</v>
      </c>
    </row>
    <row r="35" customHeight="1" spans="1:7">
      <c r="A35" s="1223" t="s">
        <v>123</v>
      </c>
      <c r="B35" s="1211" t="s">
        <v>124</v>
      </c>
      <c r="C35" s="1218">
        <f>ABS(C34*1000*16/(PI()*C33^3))</f>
        <v>34.7386930423453</v>
      </c>
      <c r="D35" s="1224"/>
      <c r="F35" s="1205" t="s">
        <v>125</v>
      </c>
      <c r="G35" s="1206"/>
    </row>
    <row r="36" customHeight="1" spans="1:7">
      <c r="A36" s="1223" t="s">
        <v>126</v>
      </c>
      <c r="B36" s="1225" t="str">
        <f>IF((C35-D2)&lt;0,"安全","不安全")</f>
        <v>安全</v>
      </c>
      <c r="C36" s="1225"/>
      <c r="D36" s="1226"/>
      <c r="F36" s="1207" t="s">
        <v>127</v>
      </c>
      <c r="G36" s="1207" t="s">
        <v>128</v>
      </c>
    </row>
    <row r="37" customHeight="1" spans="6:7">
      <c r="F37" s="1209" t="s">
        <v>129</v>
      </c>
      <c r="G37" s="1209" t="s">
        <v>130</v>
      </c>
    </row>
    <row r="38" customHeight="1" spans="1:7">
      <c r="A38" s="1210" t="s">
        <v>131</v>
      </c>
      <c r="B38" s="1210"/>
      <c r="C38" s="1210"/>
      <c r="D38" s="1210"/>
      <c r="F38" s="1209" t="s">
        <v>132</v>
      </c>
      <c r="G38" s="1209" t="s">
        <v>133</v>
      </c>
    </row>
    <row r="39" customHeight="1" spans="1:7">
      <c r="A39" s="1211" t="s">
        <v>134</v>
      </c>
      <c r="B39" s="1211" t="s">
        <v>63</v>
      </c>
      <c r="C39" s="1211" t="s">
        <v>64</v>
      </c>
      <c r="D39" s="1211" t="s">
        <v>65</v>
      </c>
      <c r="F39" s="1209" t="s">
        <v>135</v>
      </c>
      <c r="G39" s="1209" t="s">
        <v>71</v>
      </c>
    </row>
    <row r="40" customHeight="1" spans="1:4">
      <c r="A40" s="1201" t="s">
        <v>120</v>
      </c>
      <c r="B40" s="1211" t="s">
        <v>85</v>
      </c>
      <c r="C40" s="1072">
        <v>10</v>
      </c>
      <c r="D40" s="1201"/>
    </row>
    <row r="41" customHeight="1" spans="1:4">
      <c r="A41" s="1201" t="s">
        <v>136</v>
      </c>
      <c r="B41" s="1211" t="s">
        <v>82</v>
      </c>
      <c r="C41" s="1072"/>
      <c r="D41" s="1201" t="s">
        <v>137</v>
      </c>
    </row>
    <row r="42" customHeight="1" spans="1:4">
      <c r="A42" s="1223" t="s">
        <v>123</v>
      </c>
      <c r="B42" s="1211" t="s">
        <v>124</v>
      </c>
      <c r="C42" s="1219">
        <f>ABS(C41*1000*16/(PI()*C40^3))</f>
        <v>0</v>
      </c>
      <c r="D42" s="1224"/>
    </row>
    <row r="43" customHeight="1" spans="1:4">
      <c r="A43" s="1223" t="s">
        <v>126</v>
      </c>
      <c r="B43" s="1225" t="str">
        <f>IF((C42-D2)&lt;0,"安全","不安全")</f>
        <v>安全</v>
      </c>
      <c r="C43" s="1225"/>
      <c r="D43" s="1226"/>
    </row>
    <row r="45" customHeight="1" spans="1:4">
      <c r="A45" s="1208" t="s">
        <v>138</v>
      </c>
      <c r="B45" s="1208"/>
      <c r="C45" s="1208"/>
      <c r="D45" s="1208"/>
    </row>
    <row r="46" customHeight="1" spans="1:4">
      <c r="A46" s="1211" t="s">
        <v>139</v>
      </c>
      <c r="B46" s="1211" t="s">
        <v>63</v>
      </c>
      <c r="C46" s="1211" t="s">
        <v>64</v>
      </c>
      <c r="D46" s="1211" t="s">
        <v>65</v>
      </c>
    </row>
    <row r="47" customHeight="1" spans="1:4">
      <c r="A47" s="1211" t="s">
        <v>140</v>
      </c>
      <c r="B47" s="1211" t="s">
        <v>82</v>
      </c>
      <c r="C47" s="1213">
        <v>1000</v>
      </c>
      <c r="D47" s="1211"/>
    </row>
    <row r="48" customHeight="1" spans="1:4">
      <c r="A48" s="1201" t="s">
        <v>120</v>
      </c>
      <c r="B48" s="1201" t="s">
        <v>85</v>
      </c>
      <c r="C48" s="1213">
        <v>10</v>
      </c>
      <c r="D48" s="1201"/>
    </row>
    <row r="49" customHeight="1" spans="1:4">
      <c r="A49" s="1201" t="s">
        <v>141</v>
      </c>
      <c r="B49" s="1201" t="s">
        <v>142</v>
      </c>
      <c r="C49" s="1213">
        <v>79</v>
      </c>
      <c r="D49" s="1201" t="s">
        <v>143</v>
      </c>
    </row>
    <row r="50" customHeight="1" spans="1:4">
      <c r="A50" s="1201" t="s">
        <v>144</v>
      </c>
      <c r="B50" s="1201" t="s">
        <v>145</v>
      </c>
      <c r="C50" s="1222">
        <f>PI()*C48^4/32</f>
        <v>981.74770424681</v>
      </c>
      <c r="D50" s="1201"/>
    </row>
    <row r="51" customHeight="1" spans="1:4">
      <c r="A51" s="1226" t="s">
        <v>146</v>
      </c>
      <c r="B51" s="1226" t="s">
        <v>147</v>
      </c>
      <c r="C51" s="1227">
        <f>180*C47/(PI()*C49*C50)</f>
        <v>0.738746857949197</v>
      </c>
      <c r="D51" s="1226" t="s">
        <v>148</v>
      </c>
    </row>
  </sheetData>
  <customSheetViews>
    <customSheetView guid="{27B96A40-A6B2-43F7-A93C-713F4207CB2A}">
      <selection activeCell="A1" sqref="A1:D1"/>
      <pageMargins left="0.7" right="0.7" top="0.75" bottom="0.75" header="0.3" footer="0.3"/>
      <pageSetup paperSize="9" orientation="portrait"/>
      <headerFooter/>
    </customSheetView>
  </customSheetViews>
  <mergeCells count="18">
    <mergeCell ref="A1:D1"/>
    <mergeCell ref="F2:G2"/>
    <mergeCell ref="A4:D4"/>
    <mergeCell ref="A5:D5"/>
    <mergeCell ref="F10:G10"/>
    <mergeCell ref="A14:D14"/>
    <mergeCell ref="A21:D21"/>
    <mergeCell ref="F22:G22"/>
    <mergeCell ref="A28:D28"/>
    <mergeCell ref="A29:D29"/>
    <mergeCell ref="F35:G35"/>
    <mergeCell ref="B36:C36"/>
    <mergeCell ref="A38:D38"/>
    <mergeCell ref="B43:C43"/>
    <mergeCell ref="A45:D45"/>
    <mergeCell ref="D10:D11"/>
    <mergeCell ref="I2:K16"/>
    <mergeCell ref="I18:K23"/>
  </mergeCells>
  <dataValidations count="2">
    <dataValidation type="list" allowBlank="1" showInputMessage="1" showErrorMessage="1" prompt="请选材料" sqref="B2">
      <formula1>$F$12:$F$19</formula1>
    </dataValidation>
    <dataValidation type="list" allowBlank="1" showInputMessage="1" showErrorMessage="1" prompt="请选时间" sqref="C9">
      <formula1>$G$4:$G$7</formula1>
    </dataValidation>
  </dataValidations>
  <pageMargins left="0.7" right="0.7" top="0.75" bottom="0.75" header="0.3" footer="0.3"/>
  <pageSetup paperSize="9" orientation="portrait"/>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66"/>
  <sheetViews>
    <sheetView workbookViewId="0">
      <selection activeCell="A1" sqref="A1:D1"/>
    </sheetView>
  </sheetViews>
  <sheetFormatPr defaultColWidth="15.625" defaultRowHeight="20.1" customHeight="1"/>
  <cols>
    <col min="1" max="1" width="13.375" style="82" customWidth="1"/>
    <col min="2" max="2" width="20" style="82" customWidth="1"/>
    <col min="3" max="3" width="13.875" style="83" customWidth="1"/>
    <col min="4" max="4" width="17.5" style="82" customWidth="1"/>
    <col min="5" max="5" width="5" style="82" customWidth="1"/>
    <col min="6" max="10" width="10.625" style="82" customWidth="1"/>
    <col min="11" max="11" width="8.875" style="82" customWidth="1"/>
    <col min="12" max="12" width="7.625" style="82" customWidth="1"/>
    <col min="13" max="13" width="7.125" style="82" customWidth="1"/>
    <col min="14" max="15" width="8.5" style="82" customWidth="1"/>
    <col min="16" max="20" width="10.625" style="82" customWidth="1"/>
    <col min="21" max="27" width="8.625" style="82" customWidth="1"/>
    <col min="28" max="16384" width="15.625" style="82"/>
  </cols>
  <sheetData>
    <row r="1" ht="21.95" customHeight="1" spans="1:8">
      <c r="A1" s="124" t="s">
        <v>1772</v>
      </c>
      <c r="B1" s="125"/>
      <c r="C1" s="125"/>
      <c r="D1" s="125"/>
      <c r="F1" s="146" t="s">
        <v>1773</v>
      </c>
      <c r="G1" s="1"/>
      <c r="H1" s="1"/>
    </row>
    <row r="2" customHeight="1" spans="1:30">
      <c r="A2" s="106" t="s">
        <v>1774</v>
      </c>
      <c r="F2" s="1"/>
      <c r="G2" s="1"/>
      <c r="H2" s="1"/>
      <c r="R2" s="114"/>
      <c r="S2" s="114"/>
      <c r="T2" s="114"/>
      <c r="V2" s="115"/>
      <c r="W2" s="115"/>
      <c r="X2" s="115"/>
      <c r="Y2" s="115"/>
      <c r="Z2" s="115"/>
      <c r="AA2" s="115"/>
      <c r="AB2" s="115"/>
      <c r="AC2" s="115"/>
      <c r="AD2" s="115"/>
    </row>
    <row r="3" customHeight="1" spans="1:30">
      <c r="A3" s="9" t="s">
        <v>269</v>
      </c>
      <c r="B3" s="9" t="s">
        <v>270</v>
      </c>
      <c r="C3" s="32" t="s">
        <v>271</v>
      </c>
      <c r="D3" s="9" t="s">
        <v>272</v>
      </c>
      <c r="F3" s="1"/>
      <c r="G3" s="1"/>
      <c r="H3" s="1"/>
      <c r="T3" s="114"/>
      <c r="V3" s="115"/>
      <c r="W3" s="115"/>
      <c r="X3" s="115"/>
      <c r="Y3" s="115"/>
      <c r="Z3" s="115"/>
      <c r="AA3" s="115"/>
      <c r="AB3" s="115"/>
      <c r="AC3" s="115"/>
      <c r="AD3" s="115"/>
    </row>
    <row r="4" customHeight="1" spans="1:30">
      <c r="A4" s="251" t="s">
        <v>1083</v>
      </c>
      <c r="B4" s="92" t="s">
        <v>1775</v>
      </c>
      <c r="C4" s="151" t="s">
        <v>1776</v>
      </c>
      <c r="D4" s="193">
        <f>IF(C4="上表面",4,IF(C4="垂直面",8,请选择吸附方式))</f>
        <v>4</v>
      </c>
      <c r="F4" s="1"/>
      <c r="G4" s="1"/>
      <c r="H4" s="1"/>
      <c r="T4" s="114"/>
      <c r="W4" s="1"/>
      <c r="X4" s="1"/>
      <c r="Y4" s="1"/>
      <c r="Z4" s="1"/>
      <c r="AA4" s="1"/>
      <c r="AB4" s="1"/>
      <c r="AC4" s="1"/>
      <c r="AD4" s="1"/>
    </row>
    <row r="5" customHeight="1" spans="1:31">
      <c r="A5" s="252"/>
      <c r="B5" s="9" t="s">
        <v>1777</v>
      </c>
      <c r="C5" s="91">
        <v>20</v>
      </c>
      <c r="D5" s="9" t="str">
        <f>C5*9.8&amp;"kg"</f>
        <v>196kg</v>
      </c>
      <c r="F5" s="1"/>
      <c r="G5" s="1"/>
      <c r="H5" s="1"/>
      <c r="T5" s="114"/>
      <c r="W5" s="114"/>
      <c r="X5" s="114"/>
      <c r="Y5" s="114"/>
      <c r="Z5" s="114"/>
      <c r="AA5" s="114"/>
      <c r="AB5" s="114"/>
      <c r="AC5" s="114"/>
      <c r="AD5" s="114"/>
      <c r="AE5" s="1"/>
    </row>
    <row r="6" customHeight="1" spans="1:31">
      <c r="A6" s="252"/>
      <c r="B6" s="9" t="s">
        <v>1761</v>
      </c>
      <c r="C6" s="91">
        <v>2.5</v>
      </c>
      <c r="D6" s="92" t="s">
        <v>1778</v>
      </c>
      <c r="G6" s="1"/>
      <c r="H6" s="1"/>
      <c r="T6" s="114"/>
      <c r="W6" s="114"/>
      <c r="X6" s="114"/>
      <c r="Y6" s="114"/>
      <c r="Z6" s="114"/>
      <c r="AE6" s="114"/>
    </row>
    <row r="7" customHeight="1" spans="1:29">
      <c r="A7" s="252"/>
      <c r="B7" s="9" t="s">
        <v>1762</v>
      </c>
      <c r="C7" s="91">
        <v>1000</v>
      </c>
      <c r="D7" s="9"/>
      <c r="F7" s="1"/>
      <c r="G7" s="1"/>
      <c r="H7" s="1"/>
      <c r="U7" s="114"/>
      <c r="V7" s="114"/>
      <c r="W7" s="114"/>
      <c r="X7" s="114"/>
      <c r="Y7" s="114"/>
      <c r="Z7" s="114"/>
      <c r="AA7" s="114"/>
      <c r="AB7" s="114"/>
      <c r="AC7" s="114"/>
    </row>
    <row r="8" customHeight="1" spans="1:30">
      <c r="A8" s="252"/>
      <c r="B8" s="9" t="s">
        <v>1779</v>
      </c>
      <c r="C8" s="91">
        <v>6</v>
      </c>
      <c r="D8" s="9"/>
      <c r="F8" s="146" t="s">
        <v>1780</v>
      </c>
      <c r="G8" s="1"/>
      <c r="H8" s="1"/>
      <c r="I8" s="1"/>
      <c r="J8" s="1"/>
      <c r="K8" s="1"/>
      <c r="L8" s="1"/>
      <c r="M8" s="1"/>
      <c r="V8" s="114"/>
      <c r="W8" s="114"/>
      <c r="X8" s="114"/>
      <c r="Y8" s="114"/>
      <c r="Z8" s="114"/>
      <c r="AA8" s="114"/>
      <c r="AB8" s="114"/>
      <c r="AC8" s="114"/>
      <c r="AD8" s="114"/>
    </row>
    <row r="9" customHeight="1" spans="1:23">
      <c r="A9" s="252"/>
      <c r="B9" s="9" t="s">
        <v>1781</v>
      </c>
      <c r="C9" s="91">
        <v>80</v>
      </c>
      <c r="D9" s="9" t="s">
        <v>1782</v>
      </c>
      <c r="F9" s="1"/>
      <c r="G9" s="1"/>
      <c r="H9" s="1"/>
      <c r="I9" s="1"/>
      <c r="J9" s="1"/>
      <c r="K9" s="1"/>
      <c r="L9" s="1"/>
      <c r="M9" s="1"/>
      <c r="U9" s="114"/>
      <c r="V9" s="114"/>
      <c r="W9" s="114"/>
    </row>
    <row r="10" customHeight="1" spans="1:15">
      <c r="A10" s="255"/>
      <c r="B10" s="9" t="s">
        <v>1783</v>
      </c>
      <c r="C10" s="91">
        <v>0.9</v>
      </c>
      <c r="D10" s="9" t="s">
        <v>1784</v>
      </c>
      <c r="F10" s="1"/>
      <c r="G10" s="1"/>
      <c r="H10" s="1"/>
      <c r="I10" s="1"/>
      <c r="J10" s="1"/>
      <c r="K10" s="1"/>
      <c r="L10" s="1"/>
      <c r="M10" s="1"/>
      <c r="O10" s="1"/>
    </row>
    <row r="11" customHeight="1" spans="1:13">
      <c r="A11" s="29" t="s">
        <v>1785</v>
      </c>
      <c r="B11" s="9" t="s">
        <v>1786</v>
      </c>
      <c r="C11" s="128">
        <f>10*9.8*C5*D4/(C9*C10)*100</f>
        <v>10888.8888888889</v>
      </c>
      <c r="D11" s="9"/>
      <c r="F11" s="1"/>
      <c r="G11" s="1"/>
      <c r="H11" s="1"/>
      <c r="I11" s="1"/>
      <c r="J11" s="1"/>
      <c r="K11" s="1"/>
      <c r="L11" s="1"/>
      <c r="M11" s="1"/>
    </row>
    <row r="12" customHeight="1" spans="1:27">
      <c r="A12" s="29"/>
      <c r="B12" s="9" t="s">
        <v>1787</v>
      </c>
      <c r="C12" s="104">
        <f>SQRT(4*C11/C8/PI())</f>
        <v>48.0696784739969</v>
      </c>
      <c r="D12" s="9"/>
      <c r="F12" s="1"/>
      <c r="G12" s="1"/>
      <c r="H12" s="1"/>
      <c r="I12" s="1"/>
      <c r="J12" s="1"/>
      <c r="K12" s="1"/>
      <c r="L12" s="1"/>
      <c r="M12" s="1"/>
      <c r="AA12" s="1"/>
    </row>
    <row r="13" customHeight="1" spans="1:27">
      <c r="A13" s="29"/>
      <c r="B13" s="92" t="s">
        <v>1788</v>
      </c>
      <c r="C13" s="111"/>
      <c r="D13" s="92" t="s">
        <v>1789</v>
      </c>
      <c r="F13" s="1"/>
      <c r="G13" s="1"/>
      <c r="H13" s="1"/>
      <c r="I13" s="1"/>
      <c r="J13" s="1"/>
      <c r="K13" s="1"/>
      <c r="L13" s="1"/>
      <c r="M13" s="1"/>
      <c r="AA13" s="1"/>
    </row>
    <row r="14" customHeight="1" spans="1:27">
      <c r="A14" s="29" t="s">
        <v>1790</v>
      </c>
      <c r="B14" s="9" t="s">
        <v>1791</v>
      </c>
      <c r="C14" s="128">
        <v>50</v>
      </c>
      <c r="D14" s="29"/>
      <c r="F14" s="106"/>
      <c r="G14" s="1"/>
      <c r="H14" s="1"/>
      <c r="I14" s="1"/>
      <c r="J14" s="1"/>
      <c r="K14" s="1"/>
      <c r="L14" s="1"/>
      <c r="M14" s="1"/>
      <c r="AA14" s="1"/>
    </row>
    <row r="15" customHeight="1" spans="1:27">
      <c r="A15" s="29"/>
      <c r="B15" s="9" t="s">
        <v>1792</v>
      </c>
      <c r="C15" s="226">
        <v>1</v>
      </c>
      <c r="D15" s="346" t="s">
        <v>1793</v>
      </c>
      <c r="F15" s="1"/>
      <c r="G15" s="1"/>
      <c r="H15" s="1"/>
      <c r="I15" s="1"/>
      <c r="J15" s="1"/>
      <c r="K15" s="1"/>
      <c r="L15" s="1"/>
      <c r="M15" s="1"/>
      <c r="AA15" s="1"/>
    </row>
    <row r="16" customHeight="1" spans="1:27">
      <c r="A16" s="29"/>
      <c r="B16" s="9" t="s">
        <v>1794</v>
      </c>
      <c r="C16" s="347">
        <f>PI()*C6^2*C7/4/1000000</f>
        <v>0.00490873852123405</v>
      </c>
      <c r="D16" s="29"/>
      <c r="F16" s="1"/>
      <c r="G16" s="1"/>
      <c r="H16" s="1"/>
      <c r="I16" s="1"/>
      <c r="J16" s="1"/>
      <c r="K16" s="1"/>
      <c r="L16" s="1"/>
      <c r="M16" s="1"/>
      <c r="AA16" s="1"/>
    </row>
    <row r="17" customHeight="1" spans="1:27">
      <c r="A17" s="29"/>
      <c r="B17" s="9" t="s">
        <v>1795</v>
      </c>
      <c r="C17" s="348">
        <v>0.016</v>
      </c>
      <c r="D17" s="24" t="s">
        <v>1796</v>
      </c>
      <c r="F17" s="1"/>
      <c r="G17" s="1"/>
      <c r="H17" s="1"/>
      <c r="I17" s="1"/>
      <c r="J17" s="1"/>
      <c r="K17" s="1"/>
      <c r="L17" s="1"/>
      <c r="M17" s="1"/>
      <c r="AA17" s="1"/>
    </row>
    <row r="18" customHeight="1" spans="1:29">
      <c r="A18" s="29"/>
      <c r="B18" s="9" t="s">
        <v>1797</v>
      </c>
      <c r="C18" s="347">
        <f>C16+C17*C8</f>
        <v>0.100908738521234</v>
      </c>
      <c r="D18" s="24"/>
      <c r="F18" s="1"/>
      <c r="G18" s="1"/>
      <c r="H18" s="1"/>
      <c r="I18" s="1"/>
      <c r="J18" s="1"/>
      <c r="K18" s="1"/>
      <c r="L18" s="1"/>
      <c r="M18" s="1"/>
      <c r="AC18" s="1"/>
    </row>
    <row r="19" customHeight="1" spans="1:29">
      <c r="A19" s="29"/>
      <c r="B19" s="9" t="s">
        <v>1798</v>
      </c>
      <c r="C19" s="347">
        <f>4000*9.8*C5*D4/(PI()*C14^2*C8)</f>
        <v>66.5479868714912</v>
      </c>
      <c r="D19" s="24"/>
      <c r="F19" s="1"/>
      <c r="G19" s="1"/>
      <c r="H19" s="1"/>
      <c r="I19" s="1"/>
      <c r="J19" s="1"/>
      <c r="K19" s="1"/>
      <c r="L19" s="1"/>
      <c r="M19" s="1"/>
      <c r="AC19" s="1"/>
    </row>
    <row r="20" customHeight="1" spans="1:29">
      <c r="A20" s="29"/>
      <c r="B20" s="9" t="s">
        <v>1799</v>
      </c>
      <c r="C20" s="91">
        <v>88</v>
      </c>
      <c r="D20" s="24" t="s">
        <v>1800</v>
      </c>
      <c r="F20" s="1" t="s">
        <v>1801</v>
      </c>
      <c r="G20" s="1"/>
      <c r="H20" s="1"/>
      <c r="I20" s="1"/>
      <c r="J20" s="1"/>
      <c r="K20" s="1"/>
      <c r="L20" s="1"/>
      <c r="M20" s="1"/>
      <c r="AC20" s="1"/>
    </row>
    <row r="21" customHeight="1" spans="1:29">
      <c r="A21" s="29"/>
      <c r="B21" s="9" t="s">
        <v>1802</v>
      </c>
      <c r="C21" s="91" t="str">
        <f>ROUND(C19/C20*100,2)&amp;"%"</f>
        <v>75.62%</v>
      </c>
      <c r="D21" s="24"/>
      <c r="F21" s="1"/>
      <c r="G21" s="1"/>
      <c r="H21" s="1"/>
      <c r="I21" s="1"/>
      <c r="J21" s="1"/>
      <c r="K21" s="1"/>
      <c r="L21" s="1"/>
      <c r="M21" s="1"/>
      <c r="AC21" s="1"/>
    </row>
    <row r="22" customHeight="1" spans="1:29">
      <c r="A22" s="29"/>
      <c r="B22" s="9" t="s">
        <v>1803</v>
      </c>
      <c r="C22" s="91">
        <v>1.4</v>
      </c>
      <c r="D22" s="24" t="s">
        <v>1804</v>
      </c>
      <c r="F22" s="1"/>
      <c r="G22" s="1"/>
      <c r="H22" s="1"/>
      <c r="I22" s="1"/>
      <c r="J22" s="1"/>
      <c r="K22" s="1"/>
      <c r="L22" s="1"/>
      <c r="M22" s="1"/>
      <c r="AC22" s="1"/>
    </row>
    <row r="23" customHeight="1" spans="1:29">
      <c r="A23" s="29"/>
      <c r="B23" s="9" t="s">
        <v>1805</v>
      </c>
      <c r="C23" s="109">
        <f>60*C18/(C15/C22)</f>
        <v>8.47633403578366</v>
      </c>
      <c r="D23" s="172" t="s">
        <v>1806</v>
      </c>
      <c r="F23" s="1"/>
      <c r="G23" s="1"/>
      <c r="H23" s="1"/>
      <c r="I23" s="1"/>
      <c r="J23" s="1"/>
      <c r="K23" s="1"/>
      <c r="L23" s="1"/>
      <c r="M23" s="1"/>
      <c r="AC23" s="1"/>
    </row>
    <row r="24" customHeight="1" spans="1:29">
      <c r="A24" s="29"/>
      <c r="B24" s="9" t="s">
        <v>1807</v>
      </c>
      <c r="C24" s="349">
        <f>C23*2</f>
        <v>16.9526680715673</v>
      </c>
      <c r="D24" s="172"/>
      <c r="F24" s="1"/>
      <c r="G24" s="1"/>
      <c r="H24" s="1"/>
      <c r="I24" s="1"/>
      <c r="J24" s="1"/>
      <c r="K24" s="1"/>
      <c r="L24" s="1"/>
      <c r="M24" s="1"/>
      <c r="AC24" s="1"/>
    </row>
    <row r="25" customHeight="1" spans="1:28">
      <c r="A25" s="29"/>
      <c r="B25" s="9" t="s">
        <v>1808</v>
      </c>
      <c r="C25" s="350" t="s">
        <v>1809</v>
      </c>
      <c r="D25" s="24" t="s">
        <v>252</v>
      </c>
      <c r="F25" s="1"/>
      <c r="G25" s="1"/>
      <c r="H25" s="1"/>
      <c r="I25" s="1"/>
      <c r="J25" s="1"/>
      <c r="K25" s="1"/>
      <c r="L25" s="1"/>
      <c r="M25" s="1"/>
      <c r="AB25" s="1"/>
    </row>
    <row r="26" customHeight="1" spans="1:28">
      <c r="A26" s="29"/>
      <c r="B26" s="9" t="s">
        <v>1810</v>
      </c>
      <c r="C26" s="91">
        <v>24</v>
      </c>
      <c r="D26" s="24" t="s">
        <v>252</v>
      </c>
      <c r="F26" s="1"/>
      <c r="G26" s="1"/>
      <c r="H26" s="1"/>
      <c r="I26" s="1"/>
      <c r="J26" s="1"/>
      <c r="K26" s="1"/>
      <c r="L26" s="1"/>
      <c r="M26" s="1"/>
      <c r="AB26" s="1"/>
    </row>
    <row r="27" customHeight="1" spans="1:28">
      <c r="A27" s="29"/>
      <c r="B27" s="9" t="s">
        <v>1811</v>
      </c>
      <c r="C27" s="104" t="str">
        <f>ROUND(C22*60*C18/(C26/2),2)&amp;IF(C22*60*C18/(C26/2)&gt;C15," ＞T"," ≤T")</f>
        <v>0.71 ≤T</v>
      </c>
      <c r="D27" s="351" t="str">
        <f>IF(C22*60*C18/(C26/2)&gt;C15,"不满足要求，重新选择","满足要求")</f>
        <v>满足要求</v>
      </c>
      <c r="F27" s="1"/>
      <c r="G27" s="1"/>
      <c r="H27" s="1"/>
      <c r="I27" s="1"/>
      <c r="J27" s="1"/>
      <c r="K27" s="1"/>
      <c r="L27" s="1"/>
      <c r="M27" s="1"/>
      <c r="AB27" s="1"/>
    </row>
    <row r="28" customHeight="1" spans="6:28">
      <c r="F28" s="1"/>
      <c r="G28" s="1"/>
      <c r="H28" s="1"/>
      <c r="I28" s="1"/>
      <c r="J28" s="1"/>
      <c r="K28" s="1"/>
      <c r="L28" s="1"/>
      <c r="M28" s="1"/>
      <c r="P28" s="209"/>
      <c r="AB28" s="1"/>
    </row>
    <row r="29" customHeight="1" spans="1:28">
      <c r="A29" s="273" t="s">
        <v>1812</v>
      </c>
      <c r="B29" s="274"/>
      <c r="C29" s="274"/>
      <c r="D29" s="275"/>
      <c r="F29" s="1"/>
      <c r="G29" s="1"/>
      <c r="H29" s="1"/>
      <c r="I29" s="1"/>
      <c r="J29" s="1"/>
      <c r="K29" s="1"/>
      <c r="L29" s="1"/>
      <c r="M29" s="1"/>
      <c r="P29" s="209"/>
      <c r="AB29" s="1"/>
    </row>
    <row r="30" customHeight="1" spans="1:28">
      <c r="A30" s="276"/>
      <c r="B30" s="277"/>
      <c r="C30" s="277"/>
      <c r="D30" s="278"/>
      <c r="F30" s="1"/>
      <c r="G30" s="1"/>
      <c r="H30" s="1"/>
      <c r="I30" s="1"/>
      <c r="J30" s="1"/>
      <c r="K30" s="1"/>
      <c r="L30" s="1"/>
      <c r="M30" s="1"/>
      <c r="P30" s="209"/>
      <c r="AB30" s="1"/>
    </row>
    <row r="31" customHeight="1" spans="1:28">
      <c r="A31" s="276"/>
      <c r="B31" s="277"/>
      <c r="C31" s="277"/>
      <c r="D31" s="278"/>
      <c r="F31" s="1"/>
      <c r="G31" s="1"/>
      <c r="H31" s="1"/>
      <c r="K31" s="209"/>
      <c r="AB31" s="1"/>
    </row>
    <row r="32" customHeight="1" spans="1:28">
      <c r="A32" s="276"/>
      <c r="B32" s="277"/>
      <c r="C32" s="277"/>
      <c r="D32" s="278"/>
      <c r="F32" s="1"/>
      <c r="G32" s="1"/>
      <c r="H32" s="1"/>
      <c r="K32" s="209"/>
      <c r="AB32" s="1"/>
    </row>
    <row r="33" customHeight="1" spans="1:29">
      <c r="A33" s="276"/>
      <c r="B33" s="277"/>
      <c r="C33" s="277"/>
      <c r="D33" s="278"/>
      <c r="F33" s="1"/>
      <c r="G33" s="1"/>
      <c r="H33" s="1"/>
      <c r="K33" s="209"/>
      <c r="AC33" s="1"/>
    </row>
    <row r="34" customHeight="1" spans="1:29">
      <c r="A34" s="276"/>
      <c r="B34" s="277"/>
      <c r="C34" s="277"/>
      <c r="D34" s="278"/>
      <c r="F34" s="1"/>
      <c r="G34" s="1"/>
      <c r="H34" s="1"/>
      <c r="I34" s="1"/>
      <c r="J34" s="1"/>
      <c r="K34" s="1"/>
      <c r="L34" s="1"/>
      <c r="M34" s="1"/>
      <c r="AC34" s="1"/>
    </row>
    <row r="35" customHeight="1" spans="1:29">
      <c r="A35" s="276"/>
      <c r="B35" s="277"/>
      <c r="C35" s="277"/>
      <c r="D35" s="278"/>
      <c r="F35" s="1"/>
      <c r="G35" s="1"/>
      <c r="H35" s="1"/>
      <c r="I35" s="1"/>
      <c r="J35" s="1"/>
      <c r="K35" s="1"/>
      <c r="L35" s="1"/>
      <c r="M35" s="1"/>
      <c r="AC35" s="1"/>
    </row>
    <row r="36" customHeight="1" spans="1:29">
      <c r="A36" s="276"/>
      <c r="B36" s="277"/>
      <c r="C36" s="277"/>
      <c r="D36" s="278"/>
      <c r="F36" s="1"/>
      <c r="G36" s="1"/>
      <c r="H36" s="1"/>
      <c r="I36" s="1"/>
      <c r="J36" s="1"/>
      <c r="K36" s="1"/>
      <c r="L36" s="1"/>
      <c r="M36" s="1"/>
      <c r="AC36" s="1"/>
    </row>
    <row r="37" customHeight="1" spans="1:29">
      <c r="A37" s="352"/>
      <c r="B37" s="353"/>
      <c r="C37" s="353"/>
      <c r="D37" s="354"/>
      <c r="F37" s="1"/>
      <c r="G37" s="1"/>
      <c r="H37" s="1"/>
      <c r="I37" s="1"/>
      <c r="J37" s="1"/>
      <c r="K37" s="1"/>
      <c r="L37" s="1"/>
      <c r="M37" s="1"/>
      <c r="AC37" s="1"/>
    </row>
    <row r="38" customHeight="1" spans="1:29">
      <c r="A38" s="240" t="s">
        <v>1813</v>
      </c>
      <c r="B38" s="241"/>
      <c r="C38" s="241"/>
      <c r="D38" s="242"/>
      <c r="F38" s="1"/>
      <c r="G38" s="1"/>
      <c r="H38" s="1"/>
      <c r="I38" s="1"/>
      <c r="J38" s="1"/>
      <c r="K38" s="1"/>
      <c r="L38" s="1"/>
      <c r="M38" s="1"/>
      <c r="AC38" s="1"/>
    </row>
    <row r="39" customHeight="1" spans="1:29">
      <c r="A39" s="243"/>
      <c r="B39" s="244"/>
      <c r="C39" s="244"/>
      <c r="D39" s="245"/>
      <c r="F39" s="1"/>
      <c r="G39" s="1"/>
      <c r="H39" s="1"/>
      <c r="I39" s="1"/>
      <c r="J39" s="1"/>
      <c r="K39" s="1"/>
      <c r="L39" s="1"/>
      <c r="M39" s="1"/>
      <c r="AC39" s="1"/>
    </row>
    <row r="40" customHeight="1" spans="1:29">
      <c r="A40" s="243"/>
      <c r="B40" s="244"/>
      <c r="C40" s="244"/>
      <c r="D40" s="245"/>
      <c r="F40" s="1"/>
      <c r="G40" s="1"/>
      <c r="H40" s="1"/>
      <c r="I40" s="1"/>
      <c r="J40" s="1"/>
      <c r="K40" s="1"/>
      <c r="L40" s="1"/>
      <c r="M40" s="1"/>
      <c r="X40" s="1"/>
      <c r="AC40" s="1"/>
    </row>
    <row r="41" customHeight="1" spans="1:29">
      <c r="A41" s="246"/>
      <c r="B41" s="247"/>
      <c r="C41" s="247"/>
      <c r="D41" s="248"/>
      <c r="F41" s="1"/>
      <c r="G41" s="1"/>
      <c r="H41" s="1"/>
      <c r="I41" s="1"/>
      <c r="J41" s="1"/>
      <c r="K41" s="1"/>
      <c r="L41" s="1"/>
      <c r="M41" s="1"/>
      <c r="X41" s="1"/>
      <c r="AC41" s="1"/>
    </row>
    <row r="42" customHeight="1" spans="1:29">
      <c r="A42" s="106"/>
      <c r="F42" s="1"/>
      <c r="G42" s="1"/>
      <c r="H42" s="1"/>
      <c r="I42" s="1"/>
      <c r="J42" s="1"/>
      <c r="K42" s="1"/>
      <c r="L42" s="1"/>
      <c r="M42" s="1"/>
      <c r="X42" s="1"/>
      <c r="AC42" s="1"/>
    </row>
    <row r="43" customHeight="1" spans="6:29">
      <c r="F43" s="1"/>
      <c r="G43" s="1"/>
      <c r="H43" s="1"/>
      <c r="I43" s="1"/>
      <c r="J43" s="1"/>
      <c r="K43" s="1"/>
      <c r="L43" s="1"/>
      <c r="M43" s="1"/>
      <c r="AC43" s="1"/>
    </row>
    <row r="44" customHeight="1" spans="6:29">
      <c r="F44" s="1"/>
      <c r="G44" s="1"/>
      <c r="H44" s="1"/>
      <c r="I44" s="1"/>
      <c r="J44" s="1"/>
      <c r="K44" s="1"/>
      <c r="L44" s="1"/>
      <c r="M44" s="1"/>
      <c r="AC44" s="1"/>
    </row>
    <row r="45" customHeight="1" spans="6:29">
      <c r="F45" s="1"/>
      <c r="G45" s="1"/>
      <c r="H45" s="1"/>
      <c r="I45" s="1"/>
      <c r="J45" s="1"/>
      <c r="K45" s="1"/>
      <c r="L45" s="1"/>
      <c r="M45" s="1"/>
      <c r="AC45" s="1"/>
    </row>
    <row r="46" customHeight="1" spans="6:13">
      <c r="F46" s="1"/>
      <c r="G46" s="1"/>
      <c r="H46" s="1"/>
      <c r="I46" s="1"/>
      <c r="J46" s="1"/>
      <c r="K46" s="1"/>
      <c r="L46" s="1"/>
      <c r="M46" s="1"/>
    </row>
    <row r="47" customHeight="1" spans="6:13">
      <c r="F47" s="1"/>
      <c r="G47" s="1"/>
      <c r="H47" s="1"/>
      <c r="I47" s="1"/>
      <c r="J47" s="1"/>
      <c r="K47" s="1"/>
      <c r="L47" s="1"/>
      <c r="M47" s="1"/>
    </row>
    <row r="48" customHeight="1" spans="10:13">
      <c r="J48" s="1"/>
      <c r="K48" s="1"/>
      <c r="L48" s="1"/>
      <c r="M48" s="1"/>
    </row>
    <row r="49" customHeight="1" spans="10:29">
      <c r="J49" s="1"/>
      <c r="K49" s="1"/>
      <c r="L49" s="1"/>
      <c r="M49" s="1"/>
      <c r="AC49" s="1"/>
    </row>
    <row r="50" customHeight="1" spans="10:29">
      <c r="J50" s="1"/>
      <c r="K50" s="1"/>
      <c r="L50" s="1"/>
      <c r="M50" s="1"/>
      <c r="AC50" s="1"/>
    </row>
    <row r="51" customHeight="1" spans="10:29">
      <c r="J51" s="1"/>
      <c r="K51" s="1"/>
      <c r="L51" s="1"/>
      <c r="M51" s="1"/>
      <c r="AC51" s="1"/>
    </row>
    <row r="52" customHeight="1" spans="6:29">
      <c r="F52" s="1"/>
      <c r="G52" s="1"/>
      <c r="H52" s="1"/>
      <c r="I52" s="1"/>
      <c r="J52" s="1"/>
      <c r="K52" s="1"/>
      <c r="L52" s="1"/>
      <c r="M52" s="1"/>
      <c r="AC52" s="1"/>
    </row>
    <row r="53" customHeight="1" spans="6:29">
      <c r="F53" s="1"/>
      <c r="G53" s="1"/>
      <c r="H53" s="1"/>
      <c r="I53" s="1"/>
      <c r="J53" s="1"/>
      <c r="K53" s="1"/>
      <c r="L53" s="1"/>
      <c r="M53" s="1"/>
      <c r="AC53" s="1"/>
    </row>
    <row r="54" customHeight="1" spans="6:29">
      <c r="F54" s="1"/>
      <c r="G54" s="1"/>
      <c r="H54" s="1"/>
      <c r="I54" s="1"/>
      <c r="J54" s="1"/>
      <c r="K54" s="1"/>
      <c r="AC54" s="1"/>
    </row>
    <row r="55" customHeight="1" spans="6:29">
      <c r="F55" s="1"/>
      <c r="G55" s="1"/>
      <c r="H55" s="1"/>
      <c r="I55" s="1"/>
      <c r="J55" s="1"/>
      <c r="K55" s="1"/>
      <c r="AC55" s="1"/>
    </row>
    <row r="56" customHeight="1" spans="6:29">
      <c r="F56" s="1"/>
      <c r="G56" s="1"/>
      <c r="H56" s="1"/>
      <c r="I56" s="1"/>
      <c r="J56" s="1"/>
      <c r="K56" s="1"/>
      <c r="AC56" s="1"/>
    </row>
    <row r="57" customHeight="1" spans="11:29">
      <c r="K57" s="1"/>
      <c r="AC57" s="1"/>
    </row>
    <row r="58" customHeight="1" spans="29:29">
      <c r="AC58" s="1"/>
    </row>
    <row r="59" customHeight="1" spans="29:29">
      <c r="AC59" s="1"/>
    </row>
    <row r="60" customHeight="1" spans="29:29">
      <c r="AC60" s="1"/>
    </row>
    <row r="61" customHeight="1" spans="29:29">
      <c r="AC61" s="1"/>
    </row>
    <row r="62" customHeight="1" spans="29:29">
      <c r="AC62" s="1"/>
    </row>
    <row r="63" customHeight="1" spans="29:29">
      <c r="AC63" s="1"/>
    </row>
    <row r="64" customHeight="1" spans="29:29">
      <c r="AC64" s="1"/>
    </row>
    <row r="65" customHeight="1" spans="29:29">
      <c r="AC65" s="1"/>
    </row>
    <row r="66" customHeight="1" spans="29:29">
      <c r="AC66" s="1"/>
    </row>
  </sheetData>
  <customSheetViews>
    <customSheetView guid="{27B96A40-A6B2-43F7-A93C-713F4207CB2A}">
      <selection activeCell="M8" sqref="M8"/>
      <pageMargins left="0.7" right="0.7" top="0.75" bottom="0.75" header="0.3" footer="0.3"/>
      <pageSetup paperSize="9" orientation="portrait"/>
      <headerFooter/>
    </customSheetView>
  </customSheetViews>
  <mergeCells count="7">
    <mergeCell ref="A1:D1"/>
    <mergeCell ref="A4:A10"/>
    <mergeCell ref="A11:A13"/>
    <mergeCell ref="A14:A27"/>
    <mergeCell ref="D23:D24"/>
    <mergeCell ref="A38:D41"/>
    <mergeCell ref="A29:D37"/>
  </mergeCells>
  <dataValidations count="1">
    <dataValidation type="list" allowBlank="1" showInputMessage="1" showErrorMessage="1" prompt="请选择" sqref="C4">
      <formula1>"上表面,垂直面"</formula1>
    </dataValidation>
  </dataValidations>
  <pageMargins left="0.7" right="0.7" top="0.75" bottom="0.75" header="0.3" footer="0.3"/>
  <pageSetup paperSize="9" orientation="portrait"/>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C96"/>
  <sheetViews>
    <sheetView workbookViewId="0">
      <selection activeCell="A33" sqref="A33:D35"/>
    </sheetView>
  </sheetViews>
  <sheetFormatPr defaultColWidth="15.625" defaultRowHeight="20.1" customHeight="1"/>
  <cols>
    <col min="1" max="1" width="15.625" style="82"/>
    <col min="2" max="2" width="25.875" style="82" customWidth="1"/>
    <col min="3" max="3" width="15.625" style="83"/>
    <col min="4" max="4" width="16.625" style="82" customWidth="1"/>
    <col min="5" max="5" width="7.875" style="82" customWidth="1"/>
    <col min="6" max="18" width="10.625" style="82" customWidth="1"/>
    <col min="19" max="25" width="8.625" style="82" customWidth="1"/>
    <col min="26" max="16384" width="15.625" style="82"/>
  </cols>
  <sheetData>
    <row r="1" ht="21.95" customHeight="1" spans="1:4">
      <c r="A1" s="124" t="s">
        <v>1814</v>
      </c>
      <c r="B1" s="125"/>
      <c r="C1" s="125"/>
      <c r="D1" s="125"/>
    </row>
    <row r="2" customHeight="1" spans="1:10">
      <c r="A2" s="343" t="s">
        <v>1815</v>
      </c>
      <c r="B2" s="344"/>
      <c r="C2" s="344"/>
      <c r="D2" s="344"/>
      <c r="F2" s="106" t="s">
        <v>1816</v>
      </c>
      <c r="J2" s="1" t="s">
        <v>1817</v>
      </c>
    </row>
    <row r="3" customHeight="1" spans="1:28">
      <c r="A3" s="9" t="s">
        <v>269</v>
      </c>
      <c r="B3" s="9" t="s">
        <v>270</v>
      </c>
      <c r="C3" s="32" t="s">
        <v>271</v>
      </c>
      <c r="D3" s="9" t="s">
        <v>272</v>
      </c>
      <c r="H3" s="80"/>
      <c r="I3" s="80"/>
      <c r="K3" s="83"/>
      <c r="T3" s="115"/>
      <c r="U3" s="115"/>
      <c r="V3" s="115"/>
      <c r="W3" s="115"/>
      <c r="X3" s="115"/>
      <c r="Y3" s="115">
        <v>0</v>
      </c>
      <c r="Z3" s="115"/>
      <c r="AA3" s="115"/>
      <c r="AB3" s="115"/>
    </row>
    <row r="4" customHeight="1" spans="1:28">
      <c r="A4" s="200" t="s">
        <v>1083</v>
      </c>
      <c r="B4" s="9" t="s">
        <v>1492</v>
      </c>
      <c r="C4" s="91">
        <v>90</v>
      </c>
      <c r="D4" s="9" t="s">
        <v>1818</v>
      </c>
      <c r="T4" s="115"/>
      <c r="U4" s="115"/>
      <c r="V4" s="115"/>
      <c r="W4" s="115"/>
      <c r="X4" s="115"/>
      <c r="Y4" s="115">
        <v>2</v>
      </c>
      <c r="Z4" s="115"/>
      <c r="AA4" s="115"/>
      <c r="AB4" s="115"/>
    </row>
    <row r="5" customHeight="1" spans="1:29">
      <c r="A5" s="322"/>
      <c r="B5" s="9" t="s">
        <v>1777</v>
      </c>
      <c r="C5" s="91">
        <v>10</v>
      </c>
      <c r="D5" s="9"/>
      <c r="U5" s="1"/>
      <c r="V5" s="1"/>
      <c r="W5" s="1"/>
      <c r="X5" s="1"/>
      <c r="Y5" s="1">
        <v>2</v>
      </c>
      <c r="Z5" s="1"/>
      <c r="AA5" s="1"/>
      <c r="AB5" s="1"/>
      <c r="AC5" s="1"/>
    </row>
    <row r="6" customHeight="1" spans="1:29">
      <c r="A6" s="322"/>
      <c r="B6" s="9" t="s">
        <v>1819</v>
      </c>
      <c r="C6" s="91">
        <v>60</v>
      </c>
      <c r="D6" s="92"/>
      <c r="U6" s="114"/>
      <c r="V6" s="114"/>
      <c r="W6" s="114"/>
      <c r="X6" s="114"/>
      <c r="Y6" s="1">
        <v>2</v>
      </c>
      <c r="Z6" s="114"/>
      <c r="AA6" s="114"/>
      <c r="AB6" s="114"/>
      <c r="AC6" s="114"/>
    </row>
    <row r="7" customHeight="1" spans="1:25">
      <c r="A7" s="322"/>
      <c r="B7" s="9" t="s">
        <v>1820</v>
      </c>
      <c r="C7" s="91">
        <v>0.1</v>
      </c>
      <c r="D7" s="92" t="s">
        <v>1821</v>
      </c>
      <c r="U7" s="114"/>
      <c r="V7" s="114"/>
      <c r="W7" s="114"/>
      <c r="X7" s="114"/>
      <c r="Y7" s="222">
        <v>0</v>
      </c>
    </row>
    <row r="8" customHeight="1" spans="1:24">
      <c r="A8" s="201"/>
      <c r="B8" s="9" t="s">
        <v>1822</v>
      </c>
      <c r="C8" s="91">
        <v>6</v>
      </c>
      <c r="D8" s="9" t="s">
        <v>1823</v>
      </c>
      <c r="F8" s="345" t="s">
        <v>1824</v>
      </c>
      <c r="G8" s="1"/>
      <c r="H8" s="1"/>
      <c r="V8" s="114"/>
      <c r="W8" s="114"/>
      <c r="X8" s="114"/>
    </row>
    <row r="9" customHeight="1" spans="1:28">
      <c r="A9" s="90" t="s">
        <v>1825</v>
      </c>
      <c r="B9" s="9" t="s">
        <v>1826</v>
      </c>
      <c r="C9" s="119">
        <f>0.5*C5*C7^2</f>
        <v>0.05</v>
      </c>
      <c r="D9" s="9" t="s">
        <v>1827</v>
      </c>
      <c r="F9" s="82" t="s">
        <v>1828</v>
      </c>
      <c r="G9" s="1"/>
      <c r="H9" s="1"/>
      <c r="V9" s="114"/>
      <c r="W9" s="114"/>
      <c r="AB9" s="114"/>
    </row>
    <row r="10" customHeight="1" spans="1:23">
      <c r="A10" s="101"/>
      <c r="B10" s="9" t="s">
        <v>1829</v>
      </c>
      <c r="C10" s="119">
        <f>C5*9.8*C8/1000*SIN(RADIANS(C4))</f>
        <v>0.588</v>
      </c>
      <c r="D10" s="9" t="s">
        <v>1830</v>
      </c>
      <c r="F10" s="1"/>
      <c r="G10" s="1"/>
      <c r="H10" s="1"/>
      <c r="V10" s="114"/>
      <c r="W10" s="114"/>
    </row>
    <row r="11" customHeight="1" spans="1:25">
      <c r="A11" s="101"/>
      <c r="B11" s="9" t="s">
        <v>1831</v>
      </c>
      <c r="C11" s="119">
        <f>C6*C8/1000</f>
        <v>0.36</v>
      </c>
      <c r="D11" s="9" t="s">
        <v>1832</v>
      </c>
      <c r="F11" s="1"/>
      <c r="G11" s="1"/>
      <c r="H11" s="1"/>
      <c r="O11" s="1"/>
      <c r="V11" s="114"/>
      <c r="W11" s="114"/>
      <c r="Y11" s="1"/>
    </row>
    <row r="12" customHeight="1" spans="1:26">
      <c r="A12" s="101"/>
      <c r="B12" s="9" t="s">
        <v>1833</v>
      </c>
      <c r="C12" s="104">
        <f>C9+C10+C11</f>
        <v>0.998</v>
      </c>
      <c r="D12" s="9"/>
      <c r="F12" s="1"/>
      <c r="G12" s="1"/>
      <c r="H12" s="1"/>
      <c r="O12" s="1"/>
      <c r="P12" s="1"/>
      <c r="Q12" s="1"/>
      <c r="R12" s="1"/>
      <c r="S12" s="1"/>
      <c r="T12" s="1"/>
      <c r="U12" s="1"/>
      <c r="V12" s="114"/>
      <c r="W12" s="114"/>
      <c r="X12" s="1"/>
      <c r="Z12" s="1"/>
    </row>
    <row r="13" customHeight="1" spans="1:26">
      <c r="A13" s="101"/>
      <c r="B13" s="9" t="s">
        <v>903</v>
      </c>
      <c r="C13" s="91">
        <v>2</v>
      </c>
      <c r="D13" s="9"/>
      <c r="F13" s="1"/>
      <c r="G13" s="1"/>
      <c r="H13" s="1"/>
      <c r="Z13" s="1"/>
    </row>
    <row r="14" customHeight="1" spans="1:26">
      <c r="A14" s="101"/>
      <c r="B14" s="9" t="s">
        <v>1834</v>
      </c>
      <c r="C14" s="259">
        <f>C13*C12</f>
        <v>1.996</v>
      </c>
      <c r="D14" s="9"/>
      <c r="F14" s="1"/>
      <c r="G14" s="1"/>
      <c r="H14" s="1"/>
      <c r="Z14" s="1"/>
    </row>
    <row r="15" customHeight="1" spans="1:26">
      <c r="A15" s="110"/>
      <c r="B15" s="92" t="s">
        <v>1835</v>
      </c>
      <c r="C15" s="186"/>
      <c r="D15" s="92" t="s">
        <v>1836</v>
      </c>
      <c r="F15" s="1"/>
      <c r="G15" s="1"/>
      <c r="H15" s="1"/>
      <c r="Z15" s="1"/>
    </row>
    <row r="16" customHeight="1" spans="1:26">
      <c r="A16" s="343" t="s">
        <v>1837</v>
      </c>
      <c r="B16" s="344"/>
      <c r="C16" s="344"/>
      <c r="D16" s="344"/>
      <c r="F16" s="1"/>
      <c r="G16" s="1"/>
      <c r="H16" s="1"/>
      <c r="Z16" s="1"/>
    </row>
    <row r="17" customHeight="1" spans="1:26">
      <c r="A17" s="9" t="s">
        <v>269</v>
      </c>
      <c r="B17" s="9" t="s">
        <v>270</v>
      </c>
      <c r="C17" s="32" t="s">
        <v>271</v>
      </c>
      <c r="D17" s="9" t="s">
        <v>272</v>
      </c>
      <c r="F17" s="1"/>
      <c r="G17" s="1"/>
      <c r="H17" s="1"/>
      <c r="Z17" s="1"/>
    </row>
    <row r="18" customHeight="1" spans="1:26">
      <c r="A18" s="200" t="s">
        <v>1083</v>
      </c>
      <c r="B18" s="9" t="s">
        <v>1838</v>
      </c>
      <c r="C18" s="91">
        <v>20</v>
      </c>
      <c r="D18" s="9" t="s">
        <v>1818</v>
      </c>
      <c r="F18" s="1"/>
      <c r="G18" s="1"/>
      <c r="H18" s="1"/>
      <c r="Z18" s="1"/>
    </row>
    <row r="19" customHeight="1" spans="1:26">
      <c r="A19" s="322"/>
      <c r="B19" s="9" t="s">
        <v>1839</v>
      </c>
      <c r="C19" s="91">
        <v>0.5</v>
      </c>
      <c r="D19" s="9" t="s">
        <v>1840</v>
      </c>
      <c r="F19" s="1"/>
      <c r="G19" s="1"/>
      <c r="H19" s="1"/>
      <c r="N19" s="106"/>
      <c r="Z19" s="1"/>
    </row>
    <row r="20" customHeight="1" spans="1:26">
      <c r="A20" s="322"/>
      <c r="B20" s="9" t="s">
        <v>1841</v>
      </c>
      <c r="C20" s="91">
        <v>60</v>
      </c>
      <c r="D20" s="92"/>
      <c r="F20" s="1"/>
      <c r="G20" s="1"/>
      <c r="H20" s="1"/>
      <c r="Z20" s="1"/>
    </row>
    <row r="21" customHeight="1" spans="1:27">
      <c r="A21" s="322"/>
      <c r="B21" s="9" t="s">
        <v>1842</v>
      </c>
      <c r="C21" s="97">
        <f>2*PI()*C20/60</f>
        <v>6.28318530717959</v>
      </c>
      <c r="D21" s="92" t="s">
        <v>1843</v>
      </c>
      <c r="F21" s="1"/>
      <c r="G21" s="1"/>
      <c r="H21" s="1"/>
      <c r="AA21" s="1"/>
    </row>
    <row r="22" customHeight="1" spans="1:27">
      <c r="A22" s="322"/>
      <c r="B22" s="9" t="s">
        <v>1844</v>
      </c>
      <c r="C22" s="91">
        <v>50</v>
      </c>
      <c r="D22" s="92" t="s">
        <v>1845</v>
      </c>
      <c r="G22" s="1"/>
      <c r="H22" s="1"/>
      <c r="AA22" s="1"/>
    </row>
    <row r="23" customHeight="1" spans="1:27">
      <c r="A23" s="201"/>
      <c r="B23" s="9" t="s">
        <v>1822</v>
      </c>
      <c r="C23" s="91">
        <v>6</v>
      </c>
      <c r="D23" s="9" t="s">
        <v>1823</v>
      </c>
      <c r="F23" s="1"/>
      <c r="G23" s="1"/>
      <c r="H23" s="1"/>
      <c r="AA23" s="1"/>
    </row>
    <row r="24" customHeight="1" spans="1:27">
      <c r="A24" s="90" t="s">
        <v>1825</v>
      </c>
      <c r="B24" s="9" t="s">
        <v>1826</v>
      </c>
      <c r="C24" s="119">
        <f>0.5*C19*C21^2</f>
        <v>9.86960440108935</v>
      </c>
      <c r="D24" s="9" t="s">
        <v>1846</v>
      </c>
      <c r="F24" s="1"/>
      <c r="G24" s="1"/>
      <c r="H24" s="1"/>
      <c r="AA24" s="1"/>
    </row>
    <row r="25" customHeight="1" spans="1:27">
      <c r="A25" s="93"/>
      <c r="B25" s="9" t="s">
        <v>1847</v>
      </c>
      <c r="C25" s="119">
        <f>C18*C23/C22</f>
        <v>2.4</v>
      </c>
      <c r="D25" s="9" t="s">
        <v>1848</v>
      </c>
      <c r="F25" s="1"/>
      <c r="G25" s="1"/>
      <c r="H25" s="1"/>
      <c r="AA25" s="1"/>
    </row>
    <row r="26" customHeight="1" spans="1:27">
      <c r="A26" s="93"/>
      <c r="B26" s="9" t="s">
        <v>1833</v>
      </c>
      <c r="C26" s="104">
        <f>C24+C25</f>
        <v>12.2696044010894</v>
      </c>
      <c r="D26" s="9"/>
      <c r="F26" s="1"/>
      <c r="G26" s="1"/>
      <c r="H26" s="1"/>
      <c r="AA26" s="1"/>
    </row>
    <row r="27" customHeight="1" spans="1:27">
      <c r="A27" s="93"/>
      <c r="B27" s="9" t="s">
        <v>903</v>
      </c>
      <c r="C27" s="91">
        <v>2</v>
      </c>
      <c r="D27" s="9"/>
      <c r="F27" s="1"/>
      <c r="G27" s="1"/>
      <c r="H27" s="1"/>
      <c r="AA27" s="1"/>
    </row>
    <row r="28" customHeight="1" spans="1:27">
      <c r="A28" s="93"/>
      <c r="B28" s="9" t="s">
        <v>1834</v>
      </c>
      <c r="C28" s="259">
        <f>C27*C26</f>
        <v>24.5392088021787</v>
      </c>
      <c r="D28" s="9"/>
      <c r="F28" s="1"/>
      <c r="G28" s="1"/>
      <c r="H28" s="1"/>
      <c r="AA28" s="1"/>
    </row>
    <row r="29" customHeight="1" spans="1:27">
      <c r="A29" s="95"/>
      <c r="B29" s="92" t="s">
        <v>1835</v>
      </c>
      <c r="C29" s="186"/>
      <c r="D29" s="92" t="s">
        <v>1836</v>
      </c>
      <c r="F29" s="1"/>
      <c r="G29" s="1"/>
      <c r="H29" s="1"/>
      <c r="AA29" s="1"/>
    </row>
    <row r="30" customHeight="1" spans="6:27">
      <c r="F30" s="1"/>
      <c r="G30" s="1"/>
      <c r="H30" s="1"/>
      <c r="AA30" s="1"/>
    </row>
    <row r="31" customHeight="1" spans="1:27">
      <c r="A31" s="324" t="s">
        <v>1849</v>
      </c>
      <c r="B31" s="324"/>
      <c r="C31" s="324"/>
      <c r="D31" s="324"/>
      <c r="F31" s="1"/>
      <c r="G31" s="1"/>
      <c r="H31" s="1"/>
      <c r="AA31" s="1"/>
    </row>
    <row r="32" customHeight="1" spans="1:27">
      <c r="A32" s="324"/>
      <c r="B32" s="324"/>
      <c r="C32" s="324"/>
      <c r="D32" s="324"/>
      <c r="F32" s="1"/>
      <c r="G32" s="1"/>
      <c r="H32" s="1"/>
      <c r="AA32" s="1"/>
    </row>
    <row r="33" customHeight="1" spans="1:27">
      <c r="A33" s="301" t="s">
        <v>1850</v>
      </c>
      <c r="B33" s="301"/>
      <c r="C33" s="301"/>
      <c r="D33" s="301"/>
      <c r="F33" s="222"/>
      <c r="G33" s="1"/>
      <c r="H33" s="300"/>
      <c r="I33" s="300"/>
      <c r="J33" s="300"/>
      <c r="K33" s="303"/>
      <c r="L33" s="303"/>
      <c r="M33" s="303"/>
      <c r="N33" s="106"/>
      <c r="AA33" s="1"/>
    </row>
    <row r="34" customHeight="1" spans="1:27">
      <c r="A34" s="301"/>
      <c r="B34" s="301"/>
      <c r="C34" s="301"/>
      <c r="D34" s="301"/>
      <c r="F34" s="222"/>
      <c r="G34" s="1"/>
      <c r="H34" s="300"/>
      <c r="I34" s="300"/>
      <c r="J34" s="300"/>
      <c r="K34" s="303"/>
      <c r="L34" s="303"/>
      <c r="M34" s="303"/>
      <c r="AA34" s="1"/>
    </row>
    <row r="35" customHeight="1" spans="1:27">
      <c r="A35" s="301"/>
      <c r="B35" s="301"/>
      <c r="C35" s="301"/>
      <c r="D35" s="301"/>
      <c r="F35" s="222"/>
      <c r="G35" s="1"/>
      <c r="H35" s="300"/>
      <c r="I35" s="300"/>
      <c r="J35" s="300"/>
      <c r="K35" s="300"/>
      <c r="L35" s="300"/>
      <c r="M35" s="300"/>
      <c r="AA35" s="1"/>
    </row>
    <row r="36" customHeight="1" spans="1:27">
      <c r="A36" s="137"/>
      <c r="B36" s="137"/>
      <c r="C36" s="137"/>
      <c r="D36" s="137"/>
      <c r="F36" s="222"/>
      <c r="G36" s="1"/>
      <c r="H36" s="300"/>
      <c r="I36" s="300"/>
      <c r="J36" s="300"/>
      <c r="K36" s="1"/>
      <c r="L36" s="1"/>
      <c r="M36" s="1"/>
      <c r="AA36" s="1"/>
    </row>
    <row r="37" customHeight="1" spans="1:27">
      <c r="A37" s="137"/>
      <c r="B37" s="137"/>
      <c r="C37" s="137"/>
      <c r="D37" s="137"/>
      <c r="F37" s="1"/>
      <c r="G37" s="1"/>
      <c r="H37" s="1"/>
      <c r="I37" s="1"/>
      <c r="J37" s="1"/>
      <c r="K37" s="1"/>
      <c r="L37" s="1"/>
      <c r="M37" s="1"/>
      <c r="AA37" s="1"/>
    </row>
    <row r="38" customHeight="1" spans="1:27">
      <c r="A38" s="137"/>
      <c r="B38" s="137"/>
      <c r="C38" s="137"/>
      <c r="D38" s="137"/>
      <c r="F38" s="222"/>
      <c r="G38" s="1"/>
      <c r="H38" s="1"/>
      <c r="I38" s="1"/>
      <c r="J38" s="1"/>
      <c r="K38" s="1"/>
      <c r="L38" s="1"/>
      <c r="M38" s="1"/>
      <c r="AA38" s="1"/>
    </row>
    <row r="39" customHeight="1" spans="1:26">
      <c r="A39" s="137"/>
      <c r="B39" s="137"/>
      <c r="C39" s="137"/>
      <c r="D39" s="137"/>
      <c r="F39" s="1"/>
      <c r="G39" s="1"/>
      <c r="H39" s="1"/>
      <c r="I39" s="1"/>
      <c r="J39" s="1"/>
      <c r="K39" s="1"/>
      <c r="L39" s="1"/>
      <c r="M39" s="1"/>
      <c r="Z39" s="1"/>
    </row>
    <row r="40" customHeight="1" spans="1:26">
      <c r="A40" s="137"/>
      <c r="B40" s="137"/>
      <c r="C40" s="137"/>
      <c r="D40" s="137"/>
      <c r="F40" s="1"/>
      <c r="G40" s="1"/>
      <c r="H40" s="1"/>
      <c r="I40" s="1"/>
      <c r="J40" s="1"/>
      <c r="K40" s="1"/>
      <c r="L40" s="1"/>
      <c r="M40" s="1"/>
      <c r="Z40" s="1"/>
    </row>
    <row r="41" customHeight="1" spans="5:26">
      <c r="E41" s="1"/>
      <c r="F41" s="1"/>
      <c r="G41" s="1"/>
      <c r="H41" s="1"/>
      <c r="I41" s="1"/>
      <c r="J41" s="1"/>
      <c r="K41" s="1"/>
      <c r="L41" s="1"/>
      <c r="M41" s="1"/>
      <c r="Z41" s="1"/>
    </row>
    <row r="42" customHeight="1" spans="6:26">
      <c r="F42" s="1"/>
      <c r="G42" s="1"/>
      <c r="H42" s="1"/>
      <c r="I42" s="1"/>
      <c r="J42" s="1"/>
      <c r="K42" s="1"/>
      <c r="L42" s="1"/>
      <c r="M42" s="1"/>
      <c r="Z42" s="1"/>
    </row>
    <row r="43" customHeight="1" spans="6:26">
      <c r="F43" s="1"/>
      <c r="G43" s="1"/>
      <c r="H43" s="1"/>
      <c r="I43" s="1"/>
      <c r="J43" s="1"/>
      <c r="K43" s="1"/>
      <c r="L43" s="1"/>
      <c r="M43" s="1"/>
      <c r="Z43" s="1"/>
    </row>
    <row r="44" customHeight="1" spans="6:26">
      <c r="F44" s="1"/>
      <c r="G44" s="1"/>
      <c r="H44" s="1"/>
      <c r="I44" s="1"/>
      <c r="J44" s="1"/>
      <c r="K44" s="1"/>
      <c r="L44" s="1"/>
      <c r="M44" s="1"/>
      <c r="Z44" s="1"/>
    </row>
    <row r="45" customHeight="1" spans="6:26">
      <c r="F45" s="1"/>
      <c r="G45" s="1"/>
      <c r="H45" s="1"/>
      <c r="I45" s="1"/>
      <c r="J45" s="1"/>
      <c r="K45" s="1"/>
      <c r="L45" s="1"/>
      <c r="M45" s="1"/>
      <c r="N45" s="1"/>
      <c r="O45" s="1"/>
      <c r="Z45" s="1"/>
    </row>
    <row r="46" customHeight="1" spans="6:26">
      <c r="F46" s="1"/>
      <c r="G46" s="1"/>
      <c r="H46" s="1"/>
      <c r="I46" s="1"/>
      <c r="J46" s="1"/>
      <c r="K46" s="1"/>
      <c r="L46" s="1"/>
      <c r="M46" s="1"/>
      <c r="Z46" s="1"/>
    </row>
    <row r="47" customHeight="1" spans="6:27">
      <c r="F47" s="1"/>
      <c r="G47" s="1"/>
      <c r="H47" s="1"/>
      <c r="I47" s="1"/>
      <c r="J47" s="1"/>
      <c r="K47" s="1"/>
      <c r="L47" s="1"/>
      <c r="M47" s="1"/>
      <c r="AA47" s="1"/>
    </row>
    <row r="48" customHeight="1" spans="6:27">
      <c r="F48" s="1"/>
      <c r="G48" s="1"/>
      <c r="H48" s="1"/>
      <c r="I48" s="1"/>
      <c r="J48" s="1"/>
      <c r="K48" s="1"/>
      <c r="L48" s="1"/>
      <c r="M48" s="1"/>
      <c r="AA48" s="1"/>
    </row>
    <row r="49" customHeight="1" spans="6:27">
      <c r="F49" s="1"/>
      <c r="G49" s="1"/>
      <c r="H49" s="1"/>
      <c r="I49" s="1"/>
      <c r="J49" s="1"/>
      <c r="K49" s="1"/>
      <c r="L49" s="1"/>
      <c r="M49" s="1"/>
      <c r="AA49" s="1"/>
    </row>
    <row r="50" customHeight="1" spans="6:27">
      <c r="F50" s="1"/>
      <c r="G50" s="1"/>
      <c r="H50" s="1"/>
      <c r="I50" s="1"/>
      <c r="J50" s="1"/>
      <c r="K50" s="1"/>
      <c r="L50" s="1"/>
      <c r="M50" s="1"/>
      <c r="AA50" s="1"/>
    </row>
    <row r="51" customHeight="1" spans="6:27">
      <c r="F51" s="1"/>
      <c r="G51" s="1"/>
      <c r="H51" s="1"/>
      <c r="I51" s="1"/>
      <c r="J51" s="1"/>
      <c r="K51" s="1"/>
      <c r="L51" s="1"/>
      <c r="M51" s="1"/>
      <c r="AA51" s="1"/>
    </row>
    <row r="52" customHeight="1" spans="6:27">
      <c r="F52" s="1"/>
      <c r="G52" s="1"/>
      <c r="H52" s="1"/>
      <c r="I52" s="1"/>
      <c r="J52" s="1"/>
      <c r="K52" s="1"/>
      <c r="L52" s="1"/>
      <c r="M52" s="1"/>
      <c r="AA52" s="1"/>
    </row>
    <row r="53" customHeight="1" spans="6:27">
      <c r="F53" s="1"/>
      <c r="G53" s="1"/>
      <c r="H53" s="1"/>
      <c r="I53" s="1"/>
      <c r="J53" s="1"/>
      <c r="K53" s="1"/>
      <c r="L53" s="1"/>
      <c r="M53" s="1"/>
      <c r="AA53" s="1"/>
    </row>
    <row r="54" customHeight="1" spans="6:27">
      <c r="F54" s="1"/>
      <c r="G54" s="1"/>
      <c r="H54" s="1"/>
      <c r="I54" s="1"/>
      <c r="J54" s="1"/>
      <c r="K54" s="1"/>
      <c r="L54" s="1"/>
      <c r="M54" s="1"/>
      <c r="AA54" s="1"/>
    </row>
    <row r="55" customHeight="1" spans="6:27">
      <c r="F55" s="1"/>
      <c r="G55" s="1"/>
      <c r="H55" s="1"/>
      <c r="I55" s="1"/>
      <c r="J55" s="1"/>
      <c r="K55" s="1"/>
      <c r="L55" s="1"/>
      <c r="M55" s="1"/>
      <c r="AA55" s="1"/>
    </row>
    <row r="56" customHeight="1" spans="6:27">
      <c r="F56" s="1"/>
      <c r="G56" s="1"/>
      <c r="H56" s="1"/>
      <c r="I56" s="1"/>
      <c r="J56" s="1"/>
      <c r="K56" s="1"/>
      <c r="L56" s="1"/>
      <c r="M56" s="1"/>
      <c r="AA56" s="1"/>
    </row>
    <row r="57" customHeight="1" spans="6:27">
      <c r="F57" s="1"/>
      <c r="G57" s="1"/>
      <c r="H57" s="1"/>
      <c r="I57" s="1"/>
      <c r="J57" s="1"/>
      <c r="K57" s="1"/>
      <c r="L57" s="1"/>
      <c r="M57" s="1"/>
      <c r="AA57" s="1"/>
    </row>
    <row r="58" customHeight="1" spans="6:27">
      <c r="F58" s="1"/>
      <c r="G58" s="1"/>
      <c r="H58" s="1"/>
      <c r="I58" s="1"/>
      <c r="J58" s="1"/>
      <c r="K58" s="1"/>
      <c r="L58" s="1"/>
      <c r="M58" s="1"/>
      <c r="AA58" s="1"/>
    </row>
    <row r="59" customHeight="1" spans="6:27">
      <c r="F59" s="1"/>
      <c r="G59" s="1"/>
      <c r="H59" s="1"/>
      <c r="I59" s="1"/>
      <c r="J59" s="1"/>
      <c r="K59" s="1"/>
      <c r="L59" s="1"/>
      <c r="M59" s="1"/>
      <c r="AA59" s="1"/>
    </row>
    <row r="60" customHeight="1" spans="6:27">
      <c r="F60" s="1"/>
      <c r="G60" s="1"/>
      <c r="H60" s="1"/>
      <c r="I60" s="1"/>
      <c r="J60" s="1"/>
      <c r="K60" s="1"/>
      <c r="L60" s="1"/>
      <c r="M60" s="1"/>
      <c r="AA60" s="1"/>
    </row>
    <row r="61" customHeight="1" spans="6:27">
      <c r="F61" s="1"/>
      <c r="G61" s="1"/>
      <c r="H61" s="1"/>
      <c r="I61" s="1"/>
      <c r="J61" s="1"/>
      <c r="K61" s="1"/>
      <c r="L61" s="1"/>
      <c r="M61" s="1"/>
      <c r="AA61" s="1"/>
    </row>
    <row r="62" customHeight="1" spans="6:27">
      <c r="F62" s="1"/>
      <c r="G62" s="1"/>
      <c r="H62" s="1"/>
      <c r="I62" s="1"/>
      <c r="J62" s="1"/>
      <c r="K62" s="1"/>
      <c r="L62" s="1"/>
      <c r="M62" s="1"/>
      <c r="AA62" s="1"/>
    </row>
    <row r="63" customHeight="1" spans="6:27">
      <c r="F63" s="1"/>
      <c r="G63" s="1"/>
      <c r="H63" s="1"/>
      <c r="I63" s="1"/>
      <c r="J63" s="1"/>
      <c r="K63" s="1"/>
      <c r="L63" s="1"/>
      <c r="M63" s="1"/>
      <c r="AA63" s="1"/>
    </row>
    <row r="64" customHeight="1" spans="6:27">
      <c r="F64" s="1"/>
      <c r="G64" s="1"/>
      <c r="H64" s="1"/>
      <c r="I64" s="1"/>
      <c r="J64" s="1"/>
      <c r="K64" s="1"/>
      <c r="L64" s="1"/>
      <c r="M64" s="1"/>
      <c r="AA64" s="1"/>
    </row>
    <row r="65" customHeight="1" spans="6:27">
      <c r="F65" s="1"/>
      <c r="G65" s="1"/>
      <c r="H65" s="1"/>
      <c r="I65" s="1"/>
      <c r="J65" s="1"/>
      <c r="K65" s="1"/>
      <c r="L65" s="1"/>
      <c r="M65" s="1"/>
      <c r="AA65" s="1"/>
    </row>
    <row r="66" customHeight="1" spans="6:27">
      <c r="F66" s="1"/>
      <c r="G66" s="1"/>
      <c r="H66" s="1"/>
      <c r="I66" s="1"/>
      <c r="J66" s="1"/>
      <c r="K66" s="1"/>
      <c r="L66" s="1"/>
      <c r="M66" s="1"/>
      <c r="AA66" s="1"/>
    </row>
    <row r="67" customHeight="1" spans="6:27">
      <c r="F67" s="1"/>
      <c r="G67" s="1"/>
      <c r="H67" s="1"/>
      <c r="I67" s="1"/>
      <c r="J67" s="1"/>
      <c r="K67" s="1"/>
      <c r="L67" s="1"/>
      <c r="M67" s="1"/>
      <c r="AA67" s="1"/>
    </row>
    <row r="68" customHeight="1" spans="6:27">
      <c r="F68" s="1"/>
      <c r="G68" s="1"/>
      <c r="H68" s="1"/>
      <c r="I68" s="1"/>
      <c r="J68" s="1"/>
      <c r="K68" s="1"/>
      <c r="L68" s="1"/>
      <c r="M68" s="1"/>
      <c r="AA68" s="1"/>
    </row>
    <row r="69" customHeight="1" spans="6:27">
      <c r="F69" s="1"/>
      <c r="G69" s="1"/>
      <c r="H69" s="1"/>
      <c r="I69" s="1"/>
      <c r="J69" s="1"/>
      <c r="K69" s="1"/>
      <c r="L69" s="1"/>
      <c r="M69" s="1"/>
      <c r="AA69" s="1"/>
    </row>
    <row r="70" customHeight="1" spans="6:27">
      <c r="F70" s="1"/>
      <c r="G70" s="1"/>
      <c r="H70" s="1"/>
      <c r="I70" s="1"/>
      <c r="J70" s="1"/>
      <c r="K70" s="1"/>
      <c r="L70" s="1"/>
      <c r="M70" s="1"/>
      <c r="AA70" s="1"/>
    </row>
    <row r="71" customHeight="1" spans="6:27">
      <c r="F71" s="1"/>
      <c r="G71" s="1"/>
      <c r="H71" s="1"/>
      <c r="I71" s="1"/>
      <c r="J71" s="1"/>
      <c r="K71" s="1"/>
      <c r="L71" s="1"/>
      <c r="M71" s="1"/>
      <c r="AA71" s="1"/>
    </row>
    <row r="72" customHeight="1" spans="6:27">
      <c r="F72" s="1"/>
      <c r="G72" s="1"/>
      <c r="H72" s="1"/>
      <c r="I72" s="1"/>
      <c r="J72" s="1"/>
      <c r="K72" s="1"/>
      <c r="L72" s="1"/>
      <c r="M72" s="1"/>
      <c r="N72" s="209"/>
      <c r="AA72" s="1"/>
    </row>
    <row r="73" customHeight="1" spans="6:27">
      <c r="F73" s="1"/>
      <c r="G73" s="1"/>
      <c r="H73" s="1"/>
      <c r="I73" s="1"/>
      <c r="J73" s="1"/>
      <c r="K73" s="1"/>
      <c r="L73" s="1"/>
      <c r="M73" s="1"/>
      <c r="N73" s="209"/>
      <c r="AA73" s="1"/>
    </row>
    <row r="74" customHeight="1" spans="6:27">
      <c r="F74" s="1"/>
      <c r="G74" s="1"/>
      <c r="H74" s="1"/>
      <c r="I74" s="1"/>
      <c r="J74" s="1"/>
      <c r="K74" s="1"/>
      <c r="L74" s="1"/>
      <c r="M74" s="1"/>
      <c r="N74" s="209"/>
      <c r="AA74" s="1"/>
    </row>
    <row r="75" customHeight="1" spans="6:27">
      <c r="F75" s="1"/>
      <c r="G75" s="1"/>
      <c r="H75" s="1"/>
      <c r="I75" s="1"/>
      <c r="J75" s="1"/>
      <c r="K75" s="1"/>
      <c r="L75" s="1"/>
      <c r="M75" s="1"/>
      <c r="N75" s="209"/>
      <c r="AA75" s="1"/>
    </row>
    <row r="76" customHeight="1" spans="6:27">
      <c r="F76" s="1"/>
      <c r="G76" s="1"/>
      <c r="H76" s="1"/>
      <c r="I76" s="1"/>
      <c r="J76" s="1"/>
      <c r="K76" s="1"/>
      <c r="L76" s="1"/>
      <c r="M76" s="1"/>
      <c r="N76" s="209"/>
      <c r="AA76" s="1"/>
    </row>
    <row r="77" customHeight="1" spans="6:27">
      <c r="F77" s="1"/>
      <c r="G77" s="1"/>
      <c r="H77" s="1"/>
      <c r="I77" s="1"/>
      <c r="J77" s="1"/>
      <c r="K77" s="1"/>
      <c r="L77" s="1"/>
      <c r="M77" s="1"/>
      <c r="N77" s="209"/>
      <c r="AA77" s="1"/>
    </row>
    <row r="78" customHeight="1" spans="6:27">
      <c r="F78" s="1"/>
      <c r="G78" s="1"/>
      <c r="H78" s="1"/>
      <c r="I78" s="1"/>
      <c r="J78" s="1"/>
      <c r="K78" s="1"/>
      <c r="L78" s="1"/>
      <c r="M78" s="1"/>
      <c r="AA78" s="1"/>
    </row>
    <row r="79" customHeight="1" spans="6:27">
      <c r="F79" s="1"/>
      <c r="G79" s="1"/>
      <c r="H79" s="1"/>
      <c r="I79" s="1"/>
      <c r="J79" s="1"/>
      <c r="K79" s="1"/>
      <c r="L79" s="1"/>
      <c r="M79" s="1"/>
      <c r="AA79" s="1"/>
    </row>
    <row r="80" customHeight="1" spans="6:27">
      <c r="F80" s="1"/>
      <c r="G80" s="1"/>
      <c r="H80" s="1"/>
      <c r="I80" s="1"/>
      <c r="J80" s="1"/>
      <c r="K80" s="1"/>
      <c r="L80" s="1"/>
      <c r="M80" s="1"/>
      <c r="AA80" s="1"/>
    </row>
    <row r="81" customHeight="1" spans="6:13">
      <c r="F81" s="1"/>
      <c r="G81" s="1"/>
      <c r="H81" s="1"/>
      <c r="I81" s="1"/>
      <c r="J81" s="1"/>
      <c r="K81" s="1"/>
      <c r="L81" s="1"/>
      <c r="M81" s="1"/>
    </row>
    <row r="82" customHeight="1" spans="6:13">
      <c r="F82" s="1"/>
      <c r="G82" s="1"/>
      <c r="H82" s="1"/>
      <c r="I82" s="1"/>
      <c r="J82" s="1"/>
      <c r="K82" s="1"/>
      <c r="L82" s="1"/>
      <c r="M82" s="1"/>
    </row>
    <row r="83" customHeight="1" spans="6:13">
      <c r="F83" s="1"/>
      <c r="G83" s="1"/>
      <c r="H83" s="1"/>
      <c r="I83" s="1"/>
      <c r="J83" s="1"/>
      <c r="K83" s="1"/>
      <c r="L83" s="1"/>
      <c r="M83" s="1"/>
    </row>
    <row r="84" customHeight="1" spans="6:13">
      <c r="F84" s="1"/>
      <c r="G84" s="1"/>
      <c r="H84" s="1"/>
      <c r="I84" s="1"/>
      <c r="J84" s="1"/>
      <c r="K84" s="1"/>
      <c r="L84" s="1"/>
      <c r="M84" s="1"/>
    </row>
    <row r="85" customHeight="1" spans="6:13">
      <c r="F85" s="1"/>
      <c r="G85" s="1"/>
      <c r="H85" s="1"/>
      <c r="I85" s="1"/>
      <c r="J85" s="1"/>
      <c r="K85" s="1"/>
      <c r="L85" s="1"/>
      <c r="M85" s="1"/>
    </row>
    <row r="86" customHeight="1" spans="6:13">
      <c r="F86" s="1"/>
      <c r="G86" s="1"/>
      <c r="H86" s="1"/>
      <c r="I86" s="1"/>
      <c r="J86" s="1"/>
      <c r="K86" s="1"/>
      <c r="L86" s="1"/>
      <c r="M86" s="1"/>
    </row>
    <row r="87" customHeight="1" spans="6:13">
      <c r="F87" s="1"/>
      <c r="G87" s="1"/>
      <c r="H87" s="1"/>
      <c r="I87" s="1"/>
      <c r="J87" s="1"/>
      <c r="K87" s="1"/>
      <c r="L87" s="1"/>
      <c r="M87" s="1"/>
    </row>
    <row r="88" customHeight="1" spans="6:13">
      <c r="F88" s="1"/>
      <c r="G88" s="1"/>
      <c r="H88" s="1"/>
      <c r="I88" s="1"/>
      <c r="J88" s="1"/>
      <c r="K88" s="1"/>
      <c r="L88" s="1"/>
      <c r="M88" s="1"/>
    </row>
    <row r="89" customHeight="1" spans="6:13">
      <c r="F89" s="1"/>
      <c r="G89" s="1"/>
      <c r="H89" s="1"/>
      <c r="I89" s="1"/>
      <c r="J89" s="1"/>
      <c r="K89" s="1"/>
      <c r="L89" s="1"/>
      <c r="M89" s="1"/>
    </row>
    <row r="90" customHeight="1" spans="6:13">
      <c r="F90" s="1"/>
      <c r="G90" s="1"/>
      <c r="H90" s="1"/>
      <c r="I90" s="1"/>
      <c r="J90" s="1"/>
      <c r="K90" s="1"/>
      <c r="L90" s="1"/>
      <c r="M90" s="1"/>
    </row>
    <row r="91" customHeight="1" spans="6:13">
      <c r="F91" s="1"/>
      <c r="G91" s="1"/>
      <c r="H91" s="1"/>
      <c r="I91" s="1"/>
      <c r="J91" s="1"/>
      <c r="K91" s="1"/>
      <c r="L91" s="1"/>
      <c r="M91" s="1"/>
    </row>
    <row r="92" customHeight="1" spans="6:13">
      <c r="F92" s="1"/>
      <c r="G92" s="1"/>
      <c r="H92" s="1"/>
      <c r="I92" s="1"/>
      <c r="J92" s="1"/>
      <c r="K92" s="1"/>
      <c r="L92" s="1"/>
      <c r="M92" s="1"/>
    </row>
    <row r="93" customHeight="1" spans="6:13">
      <c r="F93" s="1"/>
      <c r="G93" s="1"/>
      <c r="H93" s="1"/>
      <c r="I93" s="1"/>
      <c r="J93" s="1"/>
      <c r="K93" s="1"/>
      <c r="L93" s="1"/>
      <c r="M93" s="1"/>
    </row>
    <row r="94" customHeight="1" spans="6:13">
      <c r="F94" s="1"/>
      <c r="G94" s="1"/>
      <c r="H94" s="1"/>
      <c r="I94" s="1"/>
      <c r="J94" s="1"/>
      <c r="K94" s="1"/>
      <c r="L94" s="1"/>
      <c r="M94" s="1"/>
    </row>
    <row r="95" customHeight="1" spans="6:13">
      <c r="F95" s="1"/>
      <c r="G95" s="1"/>
      <c r="H95" s="1"/>
      <c r="I95" s="1"/>
      <c r="J95" s="1"/>
      <c r="K95" s="1"/>
      <c r="L95" s="1"/>
      <c r="M95" s="1"/>
    </row>
    <row r="96" customHeight="1" spans="6:10">
      <c r="F96" s="1"/>
      <c r="G96" s="1"/>
      <c r="H96" s="1"/>
      <c r="I96" s="1"/>
      <c r="J96" s="1"/>
    </row>
  </sheetData>
  <customSheetViews>
    <customSheetView guid="{27B96A40-A6B2-43F7-A93C-713F4207CB2A}">
      <selection activeCell="O12" sqref="O12"/>
      <pageMargins left="0.7" right="0.7" top="0.75" bottom="0.75" header="0.3" footer="0.3"/>
      <headerFooter/>
    </customSheetView>
  </customSheetViews>
  <mergeCells count="9">
    <mergeCell ref="A1:D1"/>
    <mergeCell ref="A2:D2"/>
    <mergeCell ref="A16:D16"/>
    <mergeCell ref="A4:A8"/>
    <mergeCell ref="A9:A15"/>
    <mergeCell ref="A18:A23"/>
    <mergeCell ref="A24:A29"/>
    <mergeCell ref="A31:D32"/>
    <mergeCell ref="A33:D35"/>
  </mergeCells>
  <pageMargins left="0.7" right="0.7" top="0.75" bottom="0.75" header="0.3" footer="0.3"/>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109"/>
  <sheetViews>
    <sheetView topLeftCell="A61" workbookViewId="0">
      <selection activeCell="A1" sqref="A1:D1"/>
    </sheetView>
  </sheetViews>
  <sheetFormatPr defaultColWidth="15.625" defaultRowHeight="20.1" customHeight="1"/>
  <cols>
    <col min="1" max="1" width="15.625" style="82"/>
    <col min="2" max="2" width="25.875" style="82" customWidth="1"/>
    <col min="3" max="3" width="15.625" style="83"/>
    <col min="4" max="4" width="16.625" style="82" customWidth="1"/>
    <col min="5" max="5" width="7.875" style="82" customWidth="1"/>
    <col min="6" max="18" width="10.625" style="82" customWidth="1"/>
    <col min="19" max="25" width="8.625" style="82" customWidth="1"/>
    <col min="26" max="16384" width="15.625" style="82"/>
  </cols>
  <sheetData>
    <row r="1" ht="21.95" customHeight="1" spans="1:4">
      <c r="A1" s="124" t="s">
        <v>1851</v>
      </c>
      <c r="B1" s="125"/>
      <c r="C1" s="125"/>
      <c r="D1" s="125"/>
    </row>
    <row r="2" customHeight="1" spans="1:6">
      <c r="A2" s="9" t="s">
        <v>269</v>
      </c>
      <c r="B2" s="9" t="s">
        <v>270</v>
      </c>
      <c r="C2" s="32" t="s">
        <v>271</v>
      </c>
      <c r="D2" s="9" t="s">
        <v>272</v>
      </c>
      <c r="F2" s="106" t="s">
        <v>1852</v>
      </c>
    </row>
    <row r="3" customHeight="1" spans="1:28">
      <c r="A3" s="320" t="s">
        <v>164</v>
      </c>
      <c r="B3" s="9" t="s">
        <v>1494</v>
      </c>
      <c r="C3" s="91">
        <v>10</v>
      </c>
      <c r="D3" s="9"/>
      <c r="F3" s="305" t="s">
        <v>1853</v>
      </c>
      <c r="G3" s="193" t="s">
        <v>1854</v>
      </c>
      <c r="H3" s="193"/>
      <c r="I3" s="193"/>
      <c r="J3" s="193"/>
      <c r="K3" s="83"/>
      <c r="L3" s="209"/>
      <c r="T3" s="115"/>
      <c r="U3" s="115"/>
      <c r="V3" s="115"/>
      <c r="W3" s="115"/>
      <c r="X3" s="115"/>
      <c r="Y3" s="115"/>
      <c r="Z3" s="115"/>
      <c r="AA3" s="115"/>
      <c r="AB3" s="115"/>
    </row>
    <row r="4" customHeight="1" spans="1:28">
      <c r="A4" s="329"/>
      <c r="B4" s="9" t="s">
        <v>1855</v>
      </c>
      <c r="C4" s="91">
        <v>1.6</v>
      </c>
      <c r="D4" s="92" t="s">
        <v>1856</v>
      </c>
      <c r="F4" s="309" t="s">
        <v>1857</v>
      </c>
      <c r="G4" s="310"/>
      <c r="H4" s="310"/>
      <c r="I4" s="310"/>
      <c r="J4" s="326"/>
      <c r="K4" s="293" t="s">
        <v>1858</v>
      </c>
      <c r="L4" s="293"/>
      <c r="M4" s="293"/>
      <c r="N4" s="293"/>
      <c r="T4" s="115"/>
      <c r="U4" s="115"/>
      <c r="V4" s="115"/>
      <c r="W4" s="115"/>
      <c r="X4" s="115"/>
      <c r="Y4" s="115"/>
      <c r="Z4" s="115"/>
      <c r="AA4" s="115"/>
      <c r="AB4" s="115"/>
    </row>
    <row r="5" customHeight="1" spans="1:28">
      <c r="A5" s="329"/>
      <c r="B5" s="9" t="s">
        <v>1859</v>
      </c>
      <c r="C5" s="91">
        <v>1000</v>
      </c>
      <c r="D5" s="9"/>
      <c r="F5" s="311" t="s">
        <v>1860</v>
      </c>
      <c r="G5" s="312" t="s">
        <v>1861</v>
      </c>
      <c r="H5" s="313"/>
      <c r="I5" s="327"/>
      <c r="J5" s="311" t="s">
        <v>1862</v>
      </c>
      <c r="K5" s="83"/>
      <c r="T5" s="115"/>
      <c r="U5" s="115"/>
      <c r="V5" s="115"/>
      <c r="W5" s="115"/>
      <c r="X5" s="115"/>
      <c r="Y5" s="115"/>
      <c r="Z5" s="115"/>
      <c r="AA5" s="115"/>
      <c r="AB5" s="115"/>
    </row>
    <row r="6" customHeight="1" spans="1:29">
      <c r="A6" s="329"/>
      <c r="B6" s="9" t="s">
        <v>1518</v>
      </c>
      <c r="C6" s="91">
        <v>300</v>
      </c>
      <c r="D6" s="9"/>
      <c r="F6" s="330" t="s">
        <v>1863</v>
      </c>
      <c r="G6" s="331" t="s">
        <v>1864</v>
      </c>
      <c r="H6" s="331"/>
      <c r="I6" s="331"/>
      <c r="J6" s="28" t="s">
        <v>1865</v>
      </c>
      <c r="U6" s="1"/>
      <c r="V6" s="1"/>
      <c r="W6" s="1"/>
      <c r="X6" s="1"/>
      <c r="Y6" s="1"/>
      <c r="Z6" s="1"/>
      <c r="AA6" s="1"/>
      <c r="AB6" s="1"/>
      <c r="AC6" s="1"/>
    </row>
    <row r="7" customHeight="1" spans="1:29">
      <c r="A7" s="202"/>
      <c r="B7" s="92" t="s">
        <v>1866</v>
      </c>
      <c r="C7" s="332" t="s">
        <v>1867</v>
      </c>
      <c r="D7" s="9"/>
      <c r="F7" s="330"/>
      <c r="G7" s="331" t="s">
        <v>1868</v>
      </c>
      <c r="H7" s="331"/>
      <c r="I7" s="331"/>
      <c r="J7" s="28" t="s">
        <v>1193</v>
      </c>
      <c r="U7" s="114"/>
      <c r="V7" s="114"/>
      <c r="W7" s="114"/>
      <c r="X7" s="114"/>
      <c r="Y7" s="1"/>
      <c r="Z7" s="114"/>
      <c r="AA7" s="114"/>
      <c r="AB7" s="114"/>
      <c r="AC7" s="114"/>
    </row>
    <row r="8" customHeight="1" spans="1:25">
      <c r="A8" s="100" t="s">
        <v>1869</v>
      </c>
      <c r="B8" s="9" t="s">
        <v>1870</v>
      </c>
      <c r="C8" s="128">
        <f>SQRT(4*C5/PI()/C4)</f>
        <v>28.2094791773878</v>
      </c>
      <c r="D8" s="9" t="s">
        <v>1871</v>
      </c>
      <c r="F8" s="330"/>
      <c r="G8" s="333" t="s">
        <v>1872</v>
      </c>
      <c r="H8" s="333"/>
      <c r="I8" s="333"/>
      <c r="J8" s="28" t="s">
        <v>1873</v>
      </c>
      <c r="U8" s="114"/>
      <c r="V8" s="114"/>
      <c r="W8" s="114"/>
      <c r="X8" s="114"/>
      <c r="Y8" s="222"/>
    </row>
    <row r="9" customHeight="1" spans="1:27">
      <c r="A9" s="101"/>
      <c r="B9" s="9" t="s">
        <v>1874</v>
      </c>
      <c r="C9" s="177">
        <v>14</v>
      </c>
      <c r="D9" s="9"/>
      <c r="F9" s="330"/>
      <c r="G9" s="333" t="s">
        <v>1875</v>
      </c>
      <c r="H9" s="333"/>
      <c r="I9" s="333"/>
      <c r="J9" s="28" t="s">
        <v>1194</v>
      </c>
      <c r="U9" s="114"/>
      <c r="V9" s="114"/>
      <c r="W9" s="114"/>
      <c r="X9" s="114"/>
      <c r="Y9" s="1"/>
      <c r="Z9" s="114"/>
      <c r="AA9" s="114"/>
    </row>
    <row r="10" customHeight="1" spans="1:28">
      <c r="A10" s="101"/>
      <c r="B10" s="9" t="s">
        <v>1876</v>
      </c>
      <c r="C10" s="128">
        <f>SQRT(4*C5/PI()/C4+C9^2)</f>
        <v>31.4924548973159</v>
      </c>
      <c r="D10" s="9"/>
      <c r="F10" s="333" t="s">
        <v>1877</v>
      </c>
      <c r="G10" s="333"/>
      <c r="H10" s="333"/>
      <c r="I10" s="333"/>
      <c r="J10" s="28" t="s">
        <v>1090</v>
      </c>
      <c r="U10" s="114"/>
      <c r="V10" s="114"/>
      <c r="W10" s="114"/>
      <c r="X10" s="114"/>
      <c r="Y10" s="1"/>
      <c r="Z10" s="114"/>
      <c r="AA10" s="114"/>
      <c r="AB10" s="114"/>
    </row>
    <row r="11" customHeight="1" spans="1:25">
      <c r="A11" s="101"/>
      <c r="B11" s="9" t="s">
        <v>1878</v>
      </c>
      <c r="C11" s="190">
        <v>1.5</v>
      </c>
      <c r="D11" s="9" t="str">
        <f>"即将F0放大为"&amp;C11*C5&amp;"N"</f>
        <v>即将F0放大为1500N</v>
      </c>
      <c r="F11" s="333" t="s">
        <v>1879</v>
      </c>
      <c r="G11" s="333"/>
      <c r="H11" s="333"/>
      <c r="I11" s="333"/>
      <c r="J11" s="28" t="s">
        <v>1880</v>
      </c>
      <c r="S11" s="114"/>
      <c r="T11" s="114"/>
      <c r="U11" s="114"/>
      <c r="V11" s="114"/>
      <c r="W11" s="114"/>
      <c r="X11" s="114"/>
      <c r="Y11" s="114"/>
    </row>
    <row r="12" customHeight="1" spans="1:25">
      <c r="A12" s="101"/>
      <c r="B12" s="9" t="s">
        <v>1881</v>
      </c>
      <c r="C12" s="104">
        <f>IF(C7="推力驱动",SQRT(C11)*C8,SQRT(C11)*C10)</f>
        <v>38.5702226230186</v>
      </c>
      <c r="D12" s="9"/>
      <c r="F12" s="312" t="s">
        <v>1882</v>
      </c>
      <c r="G12" s="313"/>
      <c r="H12" s="313"/>
      <c r="I12" s="327"/>
      <c r="J12" s="28" t="s">
        <v>1883</v>
      </c>
      <c r="S12" s="114"/>
      <c r="T12" s="114"/>
      <c r="V12" s="114"/>
      <c r="W12" s="114"/>
      <c r="X12" s="114"/>
      <c r="Y12" s="114"/>
    </row>
    <row r="13" customHeight="1" spans="1:25">
      <c r="A13" s="101"/>
      <c r="B13" s="9" t="s">
        <v>1884</v>
      </c>
      <c r="C13" s="186">
        <v>40</v>
      </c>
      <c r="D13" s="9" t="s">
        <v>1885</v>
      </c>
      <c r="F13" s="1"/>
      <c r="G13" s="1"/>
      <c r="H13" s="1"/>
      <c r="Q13" s="114"/>
      <c r="R13" s="114"/>
      <c r="V13" s="114"/>
      <c r="W13" s="114"/>
      <c r="X13" s="114"/>
      <c r="Y13" s="114"/>
    </row>
    <row r="14" customHeight="1" spans="1:25">
      <c r="A14" s="101"/>
      <c r="B14" s="9" t="s">
        <v>1886</v>
      </c>
      <c r="C14" s="186">
        <v>18</v>
      </c>
      <c r="D14" s="9" t="s">
        <v>1885</v>
      </c>
      <c r="F14" s="222" t="s">
        <v>1887</v>
      </c>
      <c r="G14" s="1"/>
      <c r="H14" s="1"/>
      <c r="V14" s="114"/>
      <c r="W14" s="114"/>
      <c r="X14" s="114"/>
      <c r="Y14" s="114"/>
    </row>
    <row r="15" customHeight="1" spans="1:25">
      <c r="A15" s="110"/>
      <c r="B15" s="9" t="str">
        <f>"验算"&amp;IF(C7="推力驱动","安全系数下推力(N)","安全系数下拉力(N)")</f>
        <v>验算安全系数下拉力(N)</v>
      </c>
      <c r="C15" s="104">
        <f>IF(C7="推力驱动",PI()*C13^2*C4/4/C11,PI()*(C13^2-C14^2)*C4/4/C11)</f>
        <v>1068.97926026149</v>
      </c>
      <c r="D15" s="334" t="str">
        <f>IF(C15&gt;=C5,"合格","不合格,请减小杆径或增大缸径")</f>
        <v>合格</v>
      </c>
      <c r="F15" s="73" t="s">
        <v>1888</v>
      </c>
      <c r="G15" s="331" t="s">
        <v>1889</v>
      </c>
      <c r="H15" s="331"/>
      <c r="I15" s="331"/>
      <c r="J15" s="331"/>
      <c r="K15" s="331"/>
      <c r="L15" s="331"/>
      <c r="M15" s="331"/>
      <c r="N15" s="331"/>
      <c r="O15" s="331"/>
      <c r="P15" s="331"/>
      <c r="Q15" s="331"/>
      <c r="R15" s="331"/>
      <c r="V15" s="114"/>
      <c r="W15" s="114"/>
      <c r="X15" s="114"/>
      <c r="Y15" s="114"/>
    </row>
    <row r="16" customHeight="1" spans="1:24">
      <c r="A16" s="4" t="s">
        <v>1890</v>
      </c>
      <c r="B16" s="9" t="s">
        <v>1518</v>
      </c>
      <c r="C16" s="32">
        <f>C6</f>
        <v>300</v>
      </c>
      <c r="D16" s="9"/>
      <c r="F16" s="73" t="s">
        <v>1891</v>
      </c>
      <c r="G16" s="331" t="s">
        <v>1892</v>
      </c>
      <c r="H16" s="331"/>
      <c r="I16" s="331"/>
      <c r="J16" s="331"/>
      <c r="K16" s="331"/>
      <c r="L16" s="331"/>
      <c r="M16" s="331"/>
      <c r="N16" s="331"/>
      <c r="O16" s="331"/>
      <c r="P16" s="331"/>
      <c r="Q16" s="331"/>
      <c r="R16" s="331"/>
      <c r="V16" s="114"/>
      <c r="W16" s="114"/>
      <c r="X16" s="114"/>
    </row>
    <row r="17" customHeight="1" spans="1:25">
      <c r="A17" s="4"/>
      <c r="B17" s="92" t="s">
        <v>1532</v>
      </c>
      <c r="C17" s="91">
        <v>400</v>
      </c>
      <c r="D17" s="117" t="s">
        <v>1533</v>
      </c>
      <c r="F17" s="146" t="s">
        <v>1893</v>
      </c>
      <c r="G17" s="1"/>
      <c r="H17" s="1"/>
      <c r="V17" s="114"/>
      <c r="W17" s="114"/>
      <c r="Y17" s="114"/>
    </row>
    <row r="18" customHeight="1" spans="1:25">
      <c r="A18" s="4"/>
      <c r="B18" s="92" t="s">
        <v>1894</v>
      </c>
      <c r="C18" s="332" t="s">
        <v>1895</v>
      </c>
      <c r="D18" s="9" t="s">
        <v>304</v>
      </c>
      <c r="F18" s="1"/>
      <c r="G18" s="1"/>
      <c r="H18" s="1"/>
      <c r="V18" s="114"/>
      <c r="W18" s="114"/>
      <c r="X18" s="114"/>
      <c r="Y18" s="114"/>
    </row>
    <row r="19" customHeight="1" spans="1:25">
      <c r="A19" s="4" t="s">
        <v>1896</v>
      </c>
      <c r="B19" s="92" t="s">
        <v>1540</v>
      </c>
      <c r="C19" s="332" t="s">
        <v>1579</v>
      </c>
      <c r="D19" s="123" t="s">
        <v>1897</v>
      </c>
      <c r="F19" s="1"/>
      <c r="G19" s="1"/>
      <c r="H19" s="1"/>
      <c r="V19" s="114"/>
      <c r="W19" s="114"/>
      <c r="X19" s="114"/>
      <c r="Y19" s="114"/>
    </row>
    <row r="20" customHeight="1" spans="2:24">
      <c r="B20" s="335"/>
      <c r="C20" s="335"/>
      <c r="D20" s="335"/>
      <c r="F20" s="1"/>
      <c r="G20" s="1"/>
      <c r="H20" s="1"/>
      <c r="V20" s="114"/>
      <c r="W20" s="114"/>
      <c r="X20" s="114"/>
    </row>
    <row r="21" customHeight="1" spans="1:23">
      <c r="A21" s="28" t="s">
        <v>1898</v>
      </c>
      <c r="B21" s="324"/>
      <c r="C21" s="324"/>
      <c r="D21" s="324"/>
      <c r="F21" s="1"/>
      <c r="G21" s="1"/>
      <c r="H21" s="1"/>
      <c r="V21" s="114"/>
      <c r="W21" s="114"/>
    </row>
    <row r="22" customHeight="1" spans="1:23">
      <c r="A22" s="294" t="s">
        <v>1895</v>
      </c>
      <c r="B22" s="294" t="s">
        <v>1899</v>
      </c>
      <c r="C22" s="295"/>
      <c r="D22" s="295"/>
      <c r="F22" s="1"/>
      <c r="G22" s="1"/>
      <c r="H22" s="1"/>
      <c r="V22" s="114"/>
      <c r="W22" s="114"/>
    </row>
    <row r="23" customHeight="1" spans="1:25">
      <c r="A23" s="294"/>
      <c r="B23" s="294"/>
      <c r="C23" s="295"/>
      <c r="D23" s="295"/>
      <c r="F23" s="1"/>
      <c r="G23" s="1"/>
      <c r="H23" s="1"/>
      <c r="V23" s="114"/>
      <c r="W23" s="114"/>
      <c r="Y23" s="1"/>
    </row>
    <row r="24" customHeight="1" spans="1:26">
      <c r="A24" s="294"/>
      <c r="B24" s="294"/>
      <c r="C24" s="295"/>
      <c r="D24" s="295"/>
      <c r="F24" s="1"/>
      <c r="G24" s="1"/>
      <c r="H24" s="1"/>
      <c r="U24" s="1"/>
      <c r="V24" s="114"/>
      <c r="W24" s="114"/>
      <c r="X24" s="1"/>
      <c r="Z24" s="1"/>
    </row>
    <row r="25" customHeight="1" spans="1:26">
      <c r="A25" s="294" t="s">
        <v>1900</v>
      </c>
      <c r="B25" s="294" t="s">
        <v>1901</v>
      </c>
      <c r="C25" s="336"/>
      <c r="D25" s="336"/>
      <c r="F25" s="1"/>
      <c r="G25" s="1"/>
      <c r="H25" s="1"/>
      <c r="O25" s="1"/>
      <c r="S25" s="1"/>
      <c r="T25" s="1"/>
      <c r="Z25" s="1"/>
    </row>
    <row r="26" customHeight="1" spans="1:26">
      <c r="A26" s="294"/>
      <c r="B26" s="337"/>
      <c r="C26" s="336"/>
      <c r="D26" s="336"/>
      <c r="F26" s="1"/>
      <c r="G26" s="1"/>
      <c r="H26" s="1"/>
      <c r="O26" s="1"/>
      <c r="P26" s="1"/>
      <c r="Q26" s="1"/>
      <c r="R26" s="1"/>
      <c r="Z26" s="1"/>
    </row>
    <row r="27" customHeight="1" spans="1:26">
      <c r="A27" s="294"/>
      <c r="B27" s="337"/>
      <c r="C27" s="336"/>
      <c r="D27" s="336"/>
      <c r="F27" s="1"/>
      <c r="G27" s="1"/>
      <c r="H27" s="1"/>
      <c r="Z27" s="1"/>
    </row>
    <row r="28" customHeight="1" spans="1:26">
      <c r="A28" s="294" t="s">
        <v>1902</v>
      </c>
      <c r="B28" s="338" t="s">
        <v>1903</v>
      </c>
      <c r="C28" s="336"/>
      <c r="D28" s="336"/>
      <c r="F28" s="1"/>
      <c r="G28" s="1"/>
      <c r="H28" s="1"/>
      <c r="Z28" s="1"/>
    </row>
    <row r="29" customHeight="1" spans="1:26">
      <c r="A29" s="294"/>
      <c r="B29" s="338"/>
      <c r="C29" s="336"/>
      <c r="D29" s="336"/>
      <c r="F29" s="1"/>
      <c r="G29" s="1"/>
      <c r="H29" s="1"/>
      <c r="Z29" s="1"/>
    </row>
    <row r="30" customHeight="1" spans="1:26">
      <c r="A30" s="294"/>
      <c r="B30" s="338"/>
      <c r="C30" s="336"/>
      <c r="D30" s="336"/>
      <c r="F30" s="1"/>
      <c r="G30" s="1"/>
      <c r="H30" s="1"/>
      <c r="Z30" s="1"/>
    </row>
    <row r="31" customHeight="1" spans="1:26">
      <c r="A31" s="294"/>
      <c r="B31" s="294" t="s">
        <v>1904</v>
      </c>
      <c r="C31" s="336"/>
      <c r="D31" s="336"/>
      <c r="F31" s="1"/>
      <c r="G31" s="1"/>
      <c r="H31" s="1"/>
      <c r="N31" s="106"/>
      <c r="Z31" s="1"/>
    </row>
    <row r="32" customHeight="1" spans="1:26">
      <c r="A32" s="294"/>
      <c r="B32" s="294"/>
      <c r="C32" s="336"/>
      <c r="D32" s="336"/>
      <c r="F32" s="1"/>
      <c r="G32" s="1"/>
      <c r="H32" s="1"/>
      <c r="Z32" s="1"/>
    </row>
    <row r="33" customHeight="1" spans="1:27">
      <c r="A33" s="294"/>
      <c r="B33" s="294" t="s">
        <v>1905</v>
      </c>
      <c r="C33" s="336"/>
      <c r="D33" s="336"/>
      <c r="F33" s="1"/>
      <c r="G33" s="1"/>
      <c r="H33" s="1"/>
      <c r="AA33" s="1"/>
    </row>
    <row r="34" customHeight="1" spans="1:27">
      <c r="A34" s="294"/>
      <c r="B34" s="294"/>
      <c r="C34" s="336"/>
      <c r="D34" s="336"/>
      <c r="F34" s="1"/>
      <c r="G34" s="1"/>
      <c r="H34" s="1"/>
      <c r="AA34" s="1"/>
    </row>
    <row r="35" customHeight="1" spans="1:27">
      <c r="A35" s="294" t="s">
        <v>1906</v>
      </c>
      <c r="B35" s="294" t="s">
        <v>1907</v>
      </c>
      <c r="C35" s="336"/>
      <c r="D35" s="336"/>
      <c r="G35" s="1"/>
      <c r="H35" s="1"/>
      <c r="AA35" s="1"/>
    </row>
    <row r="36" customHeight="1" spans="1:27">
      <c r="A36" s="294"/>
      <c r="B36" s="294"/>
      <c r="C36" s="336"/>
      <c r="D36" s="336"/>
      <c r="F36" s="1" t="s">
        <v>1908</v>
      </c>
      <c r="G36" s="1"/>
      <c r="H36" s="1"/>
      <c r="AA36" s="1"/>
    </row>
    <row r="37" customHeight="1" spans="1:27">
      <c r="A37" s="294"/>
      <c r="B37" s="294"/>
      <c r="C37" s="336"/>
      <c r="D37" s="336"/>
      <c r="F37" s="1"/>
      <c r="G37" s="1"/>
      <c r="H37" s="1"/>
      <c r="AA37" s="1"/>
    </row>
    <row r="38" customHeight="1" spans="1:27">
      <c r="A38" s="339"/>
      <c r="B38" s="339"/>
      <c r="C38" s="340"/>
      <c r="D38" s="340"/>
      <c r="F38" s="1"/>
      <c r="G38" s="1"/>
      <c r="H38" s="1"/>
      <c r="AA38" s="1"/>
    </row>
    <row r="39" customHeight="1" spans="1:27">
      <c r="A39" s="286"/>
      <c r="B39" s="287"/>
      <c r="C39" s="288"/>
      <c r="D39" s="323"/>
      <c r="F39" s="1"/>
      <c r="G39" s="1"/>
      <c r="H39" s="1"/>
      <c r="AA39" s="1"/>
    </row>
    <row r="40" customHeight="1" spans="1:27">
      <c r="A40" s="341" t="s">
        <v>1909</v>
      </c>
      <c r="B40" s="341"/>
      <c r="C40" s="341"/>
      <c r="D40" s="341"/>
      <c r="F40" s="1"/>
      <c r="G40" s="1"/>
      <c r="H40" s="1"/>
      <c r="AA40" s="1"/>
    </row>
    <row r="41" customHeight="1" spans="1:27">
      <c r="A41" s="324"/>
      <c r="B41" s="324"/>
      <c r="C41" s="324"/>
      <c r="D41" s="324"/>
      <c r="F41" s="1"/>
      <c r="G41" s="1"/>
      <c r="H41" s="1"/>
      <c r="AA41" s="1"/>
    </row>
    <row r="42" customHeight="1" spans="1:27">
      <c r="A42" s="324"/>
      <c r="B42" s="324"/>
      <c r="C42" s="324"/>
      <c r="D42" s="324"/>
      <c r="F42" s="1"/>
      <c r="G42" s="1"/>
      <c r="H42" s="1"/>
      <c r="AA42" s="1"/>
    </row>
    <row r="43" customHeight="1" spans="1:27">
      <c r="A43" s="324"/>
      <c r="B43" s="324"/>
      <c r="C43" s="324"/>
      <c r="D43" s="324"/>
      <c r="F43" s="1"/>
      <c r="G43" s="1"/>
      <c r="H43" s="1"/>
      <c r="AA43" s="1"/>
    </row>
    <row r="44" customHeight="1" spans="1:27">
      <c r="A44" s="324"/>
      <c r="B44" s="324"/>
      <c r="C44" s="324"/>
      <c r="D44" s="324"/>
      <c r="F44" s="1"/>
      <c r="G44" s="1"/>
      <c r="H44" s="1"/>
      <c r="AA44" s="1"/>
    </row>
    <row r="45" customHeight="1" spans="1:27">
      <c r="A45" s="324"/>
      <c r="B45" s="324"/>
      <c r="C45" s="324"/>
      <c r="D45" s="324"/>
      <c r="F45" s="146" t="s">
        <v>1910</v>
      </c>
      <c r="G45" s="1"/>
      <c r="H45" s="1"/>
      <c r="M45" s="303"/>
      <c r="N45" s="106"/>
      <c r="AA45" s="1"/>
    </row>
    <row r="46" customHeight="1" spans="1:27">
      <c r="A46" s="324"/>
      <c r="B46" s="324"/>
      <c r="C46" s="324"/>
      <c r="D46" s="324"/>
      <c r="F46" s="222"/>
      <c r="G46" s="1"/>
      <c r="H46" s="300"/>
      <c r="I46" s="300"/>
      <c r="J46" s="300"/>
      <c r="K46" s="303"/>
      <c r="L46" s="303"/>
      <c r="M46" s="303"/>
      <c r="AA46" s="1"/>
    </row>
    <row r="47" customHeight="1" spans="1:27">
      <c r="A47" s="324"/>
      <c r="B47" s="324"/>
      <c r="C47" s="324"/>
      <c r="D47" s="324"/>
      <c r="F47" s="222"/>
      <c r="G47" s="1"/>
      <c r="H47" s="300"/>
      <c r="I47" s="300"/>
      <c r="J47" s="300"/>
      <c r="K47" s="303"/>
      <c r="L47" s="303"/>
      <c r="M47" s="300"/>
      <c r="AA47" s="1"/>
    </row>
    <row r="48" customHeight="1" spans="1:27">
      <c r="A48" s="324"/>
      <c r="B48" s="324"/>
      <c r="C48" s="324"/>
      <c r="D48" s="324"/>
      <c r="F48" s="222"/>
      <c r="G48" s="1"/>
      <c r="H48" s="300"/>
      <c r="I48" s="300"/>
      <c r="J48" s="300"/>
      <c r="K48" s="300"/>
      <c r="L48" s="300"/>
      <c r="M48" s="1"/>
      <c r="AA48" s="1"/>
    </row>
    <row r="49" customHeight="1" spans="1:27">
      <c r="A49" s="324"/>
      <c r="B49" s="324"/>
      <c r="C49" s="324"/>
      <c r="D49" s="324"/>
      <c r="F49" s="222"/>
      <c r="G49" s="1"/>
      <c r="H49" s="300"/>
      <c r="I49" s="300"/>
      <c r="J49" s="300"/>
      <c r="K49" s="1"/>
      <c r="L49" s="1"/>
      <c r="M49" s="1"/>
      <c r="AA49" s="1"/>
    </row>
    <row r="50" customHeight="1" spans="1:27">
      <c r="A50" s="324"/>
      <c r="B50" s="324"/>
      <c r="C50" s="324"/>
      <c r="D50" s="324"/>
      <c r="F50" s="1"/>
      <c r="G50" s="1"/>
      <c r="H50" s="1"/>
      <c r="I50" s="1"/>
      <c r="J50" s="1"/>
      <c r="K50" s="1"/>
      <c r="L50" s="1"/>
      <c r="M50" s="1"/>
      <c r="AA50" s="1"/>
    </row>
    <row r="51" customHeight="1" spans="1:26">
      <c r="A51" s="342" t="s">
        <v>1911</v>
      </c>
      <c r="B51" s="290"/>
      <c r="C51" s="290"/>
      <c r="D51" s="290"/>
      <c r="F51" s="222"/>
      <c r="G51" s="1"/>
      <c r="H51" s="1"/>
      <c r="I51" s="1"/>
      <c r="J51" s="1"/>
      <c r="K51" s="1"/>
      <c r="L51" s="1"/>
      <c r="M51" s="1"/>
      <c r="Z51" s="1"/>
    </row>
    <row r="52" customHeight="1" spans="1:26">
      <c r="A52" s="290"/>
      <c r="B52" s="290"/>
      <c r="C52" s="290"/>
      <c r="D52" s="290"/>
      <c r="F52" s="1"/>
      <c r="G52" s="1"/>
      <c r="H52" s="1"/>
      <c r="I52" s="1"/>
      <c r="J52" s="1"/>
      <c r="K52" s="1"/>
      <c r="L52" s="1"/>
      <c r="M52" s="1"/>
      <c r="Z52" s="1"/>
    </row>
    <row r="53" customHeight="1" spans="1:26">
      <c r="A53" s="290"/>
      <c r="B53" s="290"/>
      <c r="C53" s="290"/>
      <c r="D53" s="290"/>
      <c r="E53" s="292"/>
      <c r="F53" s="1"/>
      <c r="G53" s="1"/>
      <c r="H53" s="1"/>
      <c r="I53" s="1"/>
      <c r="J53" s="1"/>
      <c r="K53" s="1"/>
      <c r="L53" s="1"/>
      <c r="M53" s="1"/>
      <c r="Z53" s="1"/>
    </row>
    <row r="54" customHeight="1" spans="1:26">
      <c r="A54" s="290"/>
      <c r="B54" s="290"/>
      <c r="C54" s="290"/>
      <c r="D54" s="290"/>
      <c r="F54" s="1"/>
      <c r="G54" s="1"/>
      <c r="H54" s="1"/>
      <c r="I54" s="1"/>
      <c r="J54" s="1"/>
      <c r="K54" s="1"/>
      <c r="L54" s="1"/>
      <c r="M54" s="1"/>
      <c r="Z54" s="1"/>
    </row>
    <row r="55" customHeight="1" spans="1:30">
      <c r="A55" s="290"/>
      <c r="B55" s="290"/>
      <c r="C55" s="290"/>
      <c r="D55" s="290"/>
      <c r="F55" s="1"/>
      <c r="G55" s="1"/>
      <c r="H55" s="1"/>
      <c r="I55" s="1"/>
      <c r="J55" s="1"/>
      <c r="K55" s="1"/>
      <c r="L55" s="1"/>
      <c r="M55" s="1"/>
      <c r="AD55" s="1"/>
    </row>
    <row r="56" customHeight="1" spans="1:30">
      <c r="A56" s="290"/>
      <c r="B56" s="290"/>
      <c r="C56" s="290"/>
      <c r="D56" s="290"/>
      <c r="G56" s="83"/>
      <c r="J56" s="1"/>
      <c r="K56" s="1"/>
      <c r="L56" s="1"/>
      <c r="M56" s="1"/>
      <c r="N56" s="1"/>
      <c r="O56" s="1"/>
      <c r="P56" s="1"/>
      <c r="Q56" s="1"/>
      <c r="AD56" s="1"/>
    </row>
    <row r="57" customHeight="1" spans="1:30">
      <c r="A57" s="290"/>
      <c r="B57" s="290"/>
      <c r="C57" s="290"/>
      <c r="D57" s="290"/>
      <c r="G57" s="83"/>
      <c r="J57" s="1"/>
      <c r="K57" s="1"/>
      <c r="L57" s="1"/>
      <c r="M57" s="1"/>
      <c r="N57" s="1"/>
      <c r="O57" s="1"/>
      <c r="P57" s="1"/>
      <c r="Q57" s="1"/>
      <c r="R57" s="1"/>
      <c r="AD57" s="1"/>
    </row>
    <row r="58" customHeight="1" spans="1:31">
      <c r="A58" s="290"/>
      <c r="B58" s="290"/>
      <c r="C58" s="290"/>
      <c r="D58" s="290"/>
      <c r="G58" s="83"/>
      <c r="J58" s="1"/>
      <c r="K58" s="1"/>
      <c r="L58" s="1"/>
      <c r="M58" s="1"/>
      <c r="N58" s="1"/>
      <c r="O58" s="1"/>
      <c r="P58" s="1"/>
      <c r="Q58" s="1"/>
      <c r="S58" s="1"/>
      <c r="AD58" s="1"/>
      <c r="AE58" s="1"/>
    </row>
    <row r="59" customHeight="1" spans="1:17">
      <c r="A59" s="290"/>
      <c r="B59" s="290"/>
      <c r="C59" s="290"/>
      <c r="D59" s="290"/>
      <c r="G59" s="83"/>
      <c r="J59" s="1"/>
      <c r="K59" s="1"/>
      <c r="L59" s="1"/>
      <c r="M59" s="1"/>
      <c r="N59" s="1"/>
      <c r="O59" s="1"/>
      <c r="P59" s="1"/>
      <c r="Q59" s="1"/>
    </row>
    <row r="60" customHeight="1" spans="1:27">
      <c r="A60" s="290"/>
      <c r="B60" s="290"/>
      <c r="C60" s="290"/>
      <c r="D60" s="290"/>
      <c r="F60" s="132"/>
      <c r="G60" s="132"/>
      <c r="H60" s="132"/>
      <c r="J60" s="1"/>
      <c r="K60" s="1"/>
      <c r="L60" s="1"/>
      <c r="M60" s="1"/>
      <c r="N60" s="1"/>
      <c r="O60" s="1"/>
      <c r="P60" s="1"/>
      <c r="Q60" s="1"/>
      <c r="AA60" s="1"/>
    </row>
    <row r="61" customHeight="1" spans="3:27">
      <c r="C61" s="82"/>
      <c r="F61" s="1"/>
      <c r="G61" s="1"/>
      <c r="H61" s="1"/>
      <c r="I61" s="1"/>
      <c r="J61" s="1"/>
      <c r="K61" s="1"/>
      <c r="L61" s="1"/>
      <c r="M61" s="1"/>
      <c r="AA61" s="1"/>
    </row>
    <row r="62" customHeight="1" spans="3:27">
      <c r="C62" s="82"/>
      <c r="F62" s="1"/>
      <c r="G62" s="1"/>
      <c r="H62" s="1"/>
      <c r="I62" s="1"/>
      <c r="J62" s="1"/>
      <c r="K62" s="1"/>
      <c r="L62" s="1"/>
      <c r="M62" s="1"/>
      <c r="AA62" s="1"/>
    </row>
    <row r="63" customHeight="1" spans="3:27">
      <c r="C63" s="82"/>
      <c r="F63" s="1"/>
      <c r="G63" s="1"/>
      <c r="H63" s="1"/>
      <c r="I63" s="1"/>
      <c r="J63" s="1"/>
      <c r="K63" s="1"/>
      <c r="L63" s="1"/>
      <c r="M63" s="1"/>
      <c r="AA63" s="1"/>
    </row>
    <row r="64" customHeight="1" spans="3:27">
      <c r="C64" s="82"/>
      <c r="F64" s="1"/>
      <c r="G64" s="1"/>
      <c r="H64" s="1"/>
      <c r="I64" s="1"/>
      <c r="J64" s="1"/>
      <c r="K64" s="1"/>
      <c r="L64" s="1"/>
      <c r="M64" s="1"/>
      <c r="AA64" s="1"/>
    </row>
    <row r="65" customHeight="1" spans="3:27">
      <c r="C65" s="82"/>
      <c r="F65" s="1"/>
      <c r="G65" s="1"/>
      <c r="H65" s="1"/>
      <c r="I65" s="1"/>
      <c r="J65" s="1"/>
      <c r="K65" s="1"/>
      <c r="L65" s="1"/>
      <c r="M65" s="1"/>
      <c r="AA65" s="1"/>
    </row>
    <row r="66" customHeight="1" spans="1:27">
      <c r="A66" s="301" t="s">
        <v>1912</v>
      </c>
      <c r="B66" s="301"/>
      <c r="C66" s="301"/>
      <c r="D66" s="301"/>
      <c r="F66" s="1"/>
      <c r="G66" s="1"/>
      <c r="H66" s="1"/>
      <c r="I66" s="1"/>
      <c r="J66" s="1"/>
      <c r="K66" s="1"/>
      <c r="L66" s="1"/>
      <c r="M66" s="1"/>
      <c r="AA66" s="1"/>
    </row>
    <row r="67" customHeight="1" spans="1:27">
      <c r="A67" s="301"/>
      <c r="B67" s="301"/>
      <c r="C67" s="301"/>
      <c r="D67" s="301"/>
      <c r="F67" s="1"/>
      <c r="G67" s="1"/>
      <c r="H67" s="1"/>
      <c r="I67" s="1"/>
      <c r="J67" s="1"/>
      <c r="K67" s="1"/>
      <c r="L67" s="1"/>
      <c r="M67" s="1"/>
      <c r="AA67" s="1"/>
    </row>
    <row r="68" customHeight="1" spans="1:27">
      <c r="A68" s="301"/>
      <c r="B68" s="301"/>
      <c r="C68" s="301"/>
      <c r="D68" s="301"/>
      <c r="F68" s="1"/>
      <c r="G68" s="1"/>
      <c r="H68" s="1"/>
      <c r="I68" s="1"/>
      <c r="J68" s="1"/>
      <c r="K68" s="1"/>
      <c r="L68" s="1"/>
      <c r="M68" s="1"/>
      <c r="AA68" s="1"/>
    </row>
    <row r="69" customHeight="1" spans="1:27">
      <c r="A69" s="301"/>
      <c r="B69" s="301"/>
      <c r="C69" s="301"/>
      <c r="D69" s="301"/>
      <c r="F69" s="1"/>
      <c r="G69" s="1"/>
      <c r="H69" s="1"/>
      <c r="I69" s="1"/>
      <c r="J69" s="1"/>
      <c r="K69" s="1"/>
      <c r="L69" s="1"/>
      <c r="M69" s="1"/>
      <c r="AA69" s="1"/>
    </row>
    <row r="70" customHeight="1" spans="1:27">
      <c r="A70" s="137"/>
      <c r="B70" s="137"/>
      <c r="C70" s="137"/>
      <c r="D70" s="137"/>
      <c r="F70" s="1"/>
      <c r="G70" s="1"/>
      <c r="H70" s="1"/>
      <c r="I70" s="1"/>
      <c r="J70" s="1"/>
      <c r="K70" s="1"/>
      <c r="L70" s="1"/>
      <c r="M70" s="1"/>
      <c r="AA70" s="1"/>
    </row>
    <row r="71" customHeight="1" spans="1:27">
      <c r="A71" s="135"/>
      <c r="B71" s="135"/>
      <c r="C71" s="135"/>
      <c r="D71" s="135"/>
      <c r="F71" s="1"/>
      <c r="G71" s="1"/>
      <c r="H71" s="1"/>
      <c r="I71" s="1"/>
      <c r="J71" s="1"/>
      <c r="K71" s="1"/>
      <c r="L71" s="1"/>
      <c r="M71" s="1"/>
      <c r="AA71" s="1"/>
    </row>
    <row r="72" customHeight="1" spans="1:27">
      <c r="A72" s="135"/>
      <c r="B72" s="135"/>
      <c r="C72" s="135"/>
      <c r="D72" s="135"/>
      <c r="F72" s="1"/>
      <c r="G72" s="1"/>
      <c r="H72" s="1"/>
      <c r="I72" s="1"/>
      <c r="J72" s="1"/>
      <c r="K72" s="1"/>
      <c r="L72" s="1"/>
      <c r="M72" s="1"/>
      <c r="AA72" s="1"/>
    </row>
    <row r="73" customHeight="1" spans="1:27">
      <c r="A73" s="135"/>
      <c r="F73" s="1"/>
      <c r="G73" s="1"/>
      <c r="H73" s="1"/>
      <c r="I73" s="1"/>
      <c r="J73" s="1"/>
      <c r="K73" s="1"/>
      <c r="L73" s="1"/>
      <c r="M73" s="1"/>
      <c r="AA73" s="1"/>
    </row>
    <row r="74" customHeight="1" spans="6:27">
      <c r="F74" s="1"/>
      <c r="G74" s="1"/>
      <c r="H74" s="1"/>
      <c r="I74" s="1"/>
      <c r="J74" s="1"/>
      <c r="K74" s="1"/>
      <c r="L74" s="1"/>
      <c r="M74" s="1"/>
      <c r="AA74" s="1"/>
    </row>
    <row r="75" customHeight="1" spans="6:27">
      <c r="F75" s="1"/>
      <c r="G75" s="1"/>
      <c r="H75" s="1"/>
      <c r="I75" s="1"/>
      <c r="J75" s="1"/>
      <c r="K75" s="1"/>
      <c r="L75" s="1"/>
      <c r="M75" s="1"/>
      <c r="AA75" s="1"/>
    </row>
    <row r="76" customHeight="1" spans="6:27">
      <c r="F76" s="1"/>
      <c r="G76" s="1"/>
      <c r="H76" s="1"/>
      <c r="I76" s="1"/>
      <c r="J76" s="1"/>
      <c r="K76" s="1"/>
      <c r="L76" s="1"/>
      <c r="M76" s="1"/>
      <c r="AA76" s="1"/>
    </row>
    <row r="77" customHeight="1" spans="6:27">
      <c r="F77" s="1"/>
      <c r="G77" s="1"/>
      <c r="H77" s="1"/>
      <c r="I77" s="1"/>
      <c r="J77" s="1"/>
      <c r="K77" s="1"/>
      <c r="L77" s="1"/>
      <c r="M77" s="1"/>
      <c r="AA77" s="1"/>
    </row>
    <row r="78" customHeight="1" spans="6:27">
      <c r="F78" s="1"/>
      <c r="G78" s="1"/>
      <c r="H78" s="1"/>
      <c r="I78" s="1"/>
      <c r="J78" s="1"/>
      <c r="K78" s="1"/>
      <c r="L78" s="1"/>
      <c r="M78" s="1"/>
      <c r="AA78" s="1"/>
    </row>
    <row r="79" customHeight="1" spans="6:27">
      <c r="F79" s="1"/>
      <c r="G79" s="1"/>
      <c r="H79" s="1"/>
      <c r="I79" s="1"/>
      <c r="J79" s="1"/>
      <c r="K79" s="1"/>
      <c r="L79" s="1"/>
      <c r="M79" s="1"/>
      <c r="AA79" s="1"/>
    </row>
    <row r="80" customHeight="1" spans="6:27">
      <c r="F80" s="1"/>
      <c r="G80" s="1"/>
      <c r="H80" s="1"/>
      <c r="I80" s="1"/>
      <c r="J80" s="1"/>
      <c r="K80" s="1"/>
      <c r="L80" s="1"/>
      <c r="M80" s="1"/>
      <c r="AA80" s="1"/>
    </row>
    <row r="81" customHeight="1" spans="6:27">
      <c r="F81" s="1"/>
      <c r="G81" s="1"/>
      <c r="H81" s="1"/>
      <c r="I81" s="1"/>
      <c r="J81" s="1"/>
      <c r="K81" s="1"/>
      <c r="L81" s="1"/>
      <c r="M81" s="1"/>
      <c r="AA81" s="1"/>
    </row>
    <row r="82" customHeight="1" spans="6:27">
      <c r="F82" s="1"/>
      <c r="G82" s="1"/>
      <c r="H82" s="1"/>
      <c r="I82" s="1"/>
      <c r="J82" s="1"/>
      <c r="K82" s="1"/>
      <c r="L82" s="1"/>
      <c r="M82" s="1"/>
      <c r="AA82" s="1"/>
    </row>
    <row r="83" customHeight="1" spans="6:27">
      <c r="F83" s="1"/>
      <c r="G83" s="1"/>
      <c r="H83" s="1"/>
      <c r="I83" s="1"/>
      <c r="J83" s="1"/>
      <c r="K83" s="1"/>
      <c r="L83" s="1"/>
      <c r="M83" s="1"/>
      <c r="AA83" s="1"/>
    </row>
    <row r="84" customHeight="1" spans="6:27">
      <c r="F84" s="1"/>
      <c r="G84" s="1"/>
      <c r="H84" s="1"/>
      <c r="I84" s="1"/>
      <c r="J84" s="1"/>
      <c r="K84" s="1"/>
      <c r="L84" s="1"/>
      <c r="M84" s="1"/>
      <c r="N84" s="209"/>
      <c r="AA84" s="1"/>
    </row>
    <row r="85" customHeight="1" spans="6:27">
      <c r="F85" s="1"/>
      <c r="G85" s="1"/>
      <c r="H85" s="1"/>
      <c r="I85" s="1"/>
      <c r="J85" s="1"/>
      <c r="K85" s="1"/>
      <c r="L85" s="1"/>
      <c r="M85" s="1"/>
      <c r="N85" s="209"/>
      <c r="AA85" s="1"/>
    </row>
    <row r="86" customHeight="1" spans="6:27">
      <c r="F86" s="1"/>
      <c r="G86" s="1"/>
      <c r="H86" s="1"/>
      <c r="I86" s="1"/>
      <c r="J86" s="1"/>
      <c r="K86" s="1"/>
      <c r="L86" s="1"/>
      <c r="M86" s="1"/>
      <c r="N86" s="209"/>
      <c r="AA86" s="1"/>
    </row>
    <row r="87" customHeight="1" spans="6:27">
      <c r="F87" s="1"/>
      <c r="G87" s="1"/>
      <c r="H87" s="1"/>
      <c r="I87" s="1"/>
      <c r="J87" s="1"/>
      <c r="K87" s="1"/>
      <c r="L87" s="1"/>
      <c r="M87" s="1"/>
      <c r="N87" s="209"/>
      <c r="AA87" s="1"/>
    </row>
    <row r="88" customHeight="1" spans="6:27">
      <c r="F88" s="1"/>
      <c r="G88" s="1"/>
      <c r="H88" s="1"/>
      <c r="I88" s="1"/>
      <c r="J88" s="1"/>
      <c r="K88" s="1"/>
      <c r="L88" s="1"/>
      <c r="M88" s="1"/>
      <c r="N88" s="209"/>
      <c r="AA88" s="1"/>
    </row>
    <row r="89" customHeight="1" spans="6:27">
      <c r="F89" s="1"/>
      <c r="G89" s="1"/>
      <c r="H89" s="1"/>
      <c r="I89" s="1"/>
      <c r="J89" s="1"/>
      <c r="K89" s="1"/>
      <c r="L89" s="1"/>
      <c r="M89" s="1"/>
      <c r="N89" s="209"/>
      <c r="AA89" s="1"/>
    </row>
    <row r="90" customHeight="1" spans="6:27">
      <c r="F90" s="1"/>
      <c r="G90" s="1"/>
      <c r="H90" s="1"/>
      <c r="I90" s="1"/>
      <c r="J90" s="1"/>
      <c r="K90" s="1"/>
      <c r="L90" s="1"/>
      <c r="M90" s="1"/>
      <c r="AA90" s="1"/>
    </row>
    <row r="91" customHeight="1" spans="6:27">
      <c r="F91" s="1"/>
      <c r="G91" s="1"/>
      <c r="H91" s="1"/>
      <c r="I91" s="1"/>
      <c r="J91" s="1"/>
      <c r="K91" s="1"/>
      <c r="L91" s="1"/>
      <c r="M91" s="1"/>
      <c r="AA91" s="1"/>
    </row>
    <row r="92" customHeight="1" spans="6:27">
      <c r="F92" s="1"/>
      <c r="G92" s="1"/>
      <c r="H92" s="1"/>
      <c r="I92" s="1"/>
      <c r="J92" s="1"/>
      <c r="K92" s="1"/>
      <c r="L92" s="1"/>
      <c r="M92" s="1"/>
      <c r="AA92" s="1"/>
    </row>
    <row r="93" customHeight="1" spans="6:13">
      <c r="F93" s="1"/>
      <c r="G93" s="1"/>
      <c r="H93" s="1"/>
      <c r="I93" s="1"/>
      <c r="J93" s="1"/>
      <c r="K93" s="1"/>
      <c r="L93" s="1"/>
      <c r="M93" s="1"/>
    </row>
    <row r="94" customHeight="1" spans="6:13">
      <c r="F94" s="1"/>
      <c r="G94" s="1"/>
      <c r="H94" s="1"/>
      <c r="I94" s="1"/>
      <c r="J94" s="1"/>
      <c r="K94" s="1"/>
      <c r="L94" s="1"/>
      <c r="M94" s="1"/>
    </row>
    <row r="95" customHeight="1" spans="6:13">
      <c r="F95" s="1"/>
      <c r="G95" s="1"/>
      <c r="H95" s="1"/>
      <c r="I95" s="1"/>
      <c r="J95" s="1"/>
      <c r="K95" s="1"/>
      <c r="L95" s="1"/>
      <c r="M95" s="1"/>
    </row>
    <row r="96" customHeight="1" spans="6:13">
      <c r="F96" s="1"/>
      <c r="G96" s="1"/>
      <c r="H96" s="1"/>
      <c r="I96" s="1"/>
      <c r="J96" s="1"/>
      <c r="K96" s="1"/>
      <c r="L96" s="1"/>
      <c r="M96" s="1"/>
    </row>
    <row r="97" customHeight="1" spans="6:13">
      <c r="F97" s="1"/>
      <c r="G97" s="1"/>
      <c r="H97" s="1"/>
      <c r="I97" s="1"/>
      <c r="J97" s="1"/>
      <c r="K97" s="1"/>
      <c r="L97" s="1"/>
      <c r="M97" s="1"/>
    </row>
    <row r="98" customHeight="1" spans="6:13">
      <c r="F98" s="1"/>
      <c r="G98" s="1"/>
      <c r="H98" s="1"/>
      <c r="I98" s="1"/>
      <c r="J98" s="1"/>
      <c r="K98" s="1"/>
      <c r="L98" s="1"/>
      <c r="M98" s="1"/>
    </row>
    <row r="99" customHeight="1" spans="6:13">
      <c r="F99" s="1"/>
      <c r="G99" s="1"/>
      <c r="H99" s="1"/>
      <c r="I99" s="1"/>
      <c r="J99" s="1"/>
      <c r="K99" s="1"/>
      <c r="L99" s="1"/>
      <c r="M99" s="1"/>
    </row>
    <row r="100" customHeight="1" spans="6:13">
      <c r="F100" s="1"/>
      <c r="G100" s="1"/>
      <c r="H100" s="1"/>
      <c r="I100" s="1"/>
      <c r="J100" s="1"/>
      <c r="K100" s="1"/>
      <c r="L100" s="1"/>
      <c r="M100" s="1"/>
    </row>
    <row r="101" customHeight="1" spans="6:13">
      <c r="F101" s="1"/>
      <c r="G101" s="1"/>
      <c r="H101" s="1"/>
      <c r="I101" s="1"/>
      <c r="J101" s="1"/>
      <c r="K101" s="1"/>
      <c r="L101" s="1"/>
      <c r="M101" s="1"/>
    </row>
    <row r="102" customHeight="1" spans="6:13">
      <c r="F102" s="1"/>
      <c r="G102" s="1"/>
      <c r="H102" s="1"/>
      <c r="I102" s="1"/>
      <c r="J102" s="1"/>
      <c r="K102" s="1"/>
      <c r="L102" s="1"/>
      <c r="M102" s="1"/>
    </row>
    <row r="103" customHeight="1" spans="6:13">
      <c r="F103" s="1"/>
      <c r="G103" s="1"/>
      <c r="H103" s="1"/>
      <c r="I103" s="1"/>
      <c r="J103" s="1"/>
      <c r="K103" s="1"/>
      <c r="L103" s="1"/>
      <c r="M103" s="1"/>
    </row>
    <row r="104" customHeight="1" spans="6:13">
      <c r="F104" s="1"/>
      <c r="G104" s="1"/>
      <c r="H104" s="1"/>
      <c r="I104" s="1"/>
      <c r="J104" s="1"/>
      <c r="K104" s="1"/>
      <c r="L104" s="1"/>
      <c r="M104" s="1"/>
    </row>
    <row r="105" customHeight="1" spans="6:13">
      <c r="F105" s="1"/>
      <c r="G105" s="1"/>
      <c r="H105" s="1"/>
      <c r="I105" s="1"/>
      <c r="J105" s="1"/>
      <c r="K105" s="1"/>
      <c r="L105" s="1"/>
      <c r="M105" s="1"/>
    </row>
    <row r="106" customHeight="1" spans="6:13">
      <c r="F106" s="1" t="s">
        <v>1554</v>
      </c>
      <c r="G106" s="1"/>
      <c r="H106" s="1"/>
      <c r="I106" s="1"/>
      <c r="J106" s="1"/>
      <c r="K106" s="1"/>
      <c r="L106" s="1"/>
      <c r="M106" s="1"/>
    </row>
    <row r="107" customHeight="1" spans="6:13">
      <c r="F107" s="1"/>
      <c r="G107" s="1"/>
      <c r="H107" s="1"/>
      <c r="I107" s="1"/>
      <c r="J107" s="1"/>
      <c r="K107" s="1"/>
      <c r="L107" s="1"/>
      <c r="M107" s="1"/>
    </row>
    <row r="108" customHeight="1" spans="6:12">
      <c r="F108" s="1"/>
      <c r="G108" s="1"/>
      <c r="H108" s="1"/>
      <c r="I108" s="1"/>
      <c r="J108" s="1"/>
      <c r="K108" s="1"/>
      <c r="L108" s="1"/>
    </row>
    <row r="109" customHeight="1" spans="6:10">
      <c r="F109" s="1"/>
      <c r="G109" s="1"/>
      <c r="H109" s="1"/>
      <c r="I109" s="1"/>
      <c r="J109" s="1"/>
    </row>
  </sheetData>
  <customSheetViews>
    <customSheetView guid="{27B96A40-A6B2-43F7-A93C-713F4207CB2A}">
      <selection activeCell="N11" sqref="N11"/>
      <pageMargins left="0.7" right="0.7" top="0.75" bottom="0.75" header="0.3" footer="0.3"/>
      <headerFooter/>
    </customSheetView>
  </customSheetViews>
  <mergeCells count="34">
    <mergeCell ref="A1:D1"/>
    <mergeCell ref="G3:J3"/>
    <mergeCell ref="F4:J4"/>
    <mergeCell ref="K4:N4"/>
    <mergeCell ref="G5:I5"/>
    <mergeCell ref="G6:I6"/>
    <mergeCell ref="G7:I7"/>
    <mergeCell ref="G8:I8"/>
    <mergeCell ref="G9:I9"/>
    <mergeCell ref="F10:I10"/>
    <mergeCell ref="F11:I11"/>
    <mergeCell ref="F12:I12"/>
    <mergeCell ref="G15:R15"/>
    <mergeCell ref="G16:R16"/>
    <mergeCell ref="A3:A7"/>
    <mergeCell ref="A8:A15"/>
    <mergeCell ref="A16:A18"/>
    <mergeCell ref="A22:A24"/>
    <mergeCell ref="A25:A27"/>
    <mergeCell ref="A28:A34"/>
    <mergeCell ref="A35:A38"/>
    <mergeCell ref="B22:B24"/>
    <mergeCell ref="B25:B27"/>
    <mergeCell ref="B28:B30"/>
    <mergeCell ref="B31:B32"/>
    <mergeCell ref="B33:B34"/>
    <mergeCell ref="B35:B38"/>
    <mergeCell ref="F6:F9"/>
    <mergeCell ref="C22:D24"/>
    <mergeCell ref="C25:D27"/>
    <mergeCell ref="A40:D50"/>
    <mergeCell ref="A66:D69"/>
    <mergeCell ref="C28:D34"/>
    <mergeCell ref="C35:D38"/>
  </mergeCells>
  <dataValidations count="3">
    <dataValidation type="list" allowBlank="1" showInputMessage="1" showErrorMessage="1" prompt="请选择" sqref="C7">
      <formula1>"推力驱动,拉力驱动"</formula1>
    </dataValidation>
    <dataValidation type="list" allowBlank="1" showInputMessage="1" showErrorMessage="1" prompt="请选择" sqref="C18">
      <formula1>" 法兰安装,尾部单耳环,尾部双耳环,尾部耳轴,中部耳轴,端部耳轴,脚架"</formula1>
    </dataValidation>
    <dataValidation type="list" allowBlank="1" showInputMessage="1" showErrorMessage="1" prompt="请选择" sqref="C19">
      <formula1>"无缓冲,橡胶缓冲,气缓冲,液压缓冲"</formula1>
    </dataValidation>
  </dataValidations>
  <pageMargins left="0.7" right="0.7" top="0.75" bottom="0.75" header="0.3" footer="0.3"/>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103"/>
  <sheetViews>
    <sheetView workbookViewId="0">
      <selection activeCell="B8" sqref="B8"/>
    </sheetView>
  </sheetViews>
  <sheetFormatPr defaultColWidth="15.625" defaultRowHeight="20.1" customHeight="1"/>
  <cols>
    <col min="1" max="1" width="15.625" style="82"/>
    <col min="2" max="2" width="25.875" style="82" customWidth="1"/>
    <col min="3" max="3" width="15.625" style="83"/>
    <col min="4" max="4" width="17" style="82" customWidth="1"/>
    <col min="5" max="5" width="7.875" style="82" customWidth="1"/>
    <col min="6" max="18" width="10.625" style="82" customWidth="1"/>
    <col min="19" max="25" width="8.625" style="82" customWidth="1"/>
    <col min="26" max="16384" width="15.625" style="82"/>
  </cols>
  <sheetData>
    <row r="1" ht="21.95" customHeight="1" spans="1:4">
      <c r="A1" s="124" t="s">
        <v>37</v>
      </c>
      <c r="B1" s="125"/>
      <c r="C1" s="125"/>
      <c r="D1" s="125"/>
    </row>
    <row r="2" customHeight="1" spans="1:6">
      <c r="A2" s="9" t="s">
        <v>269</v>
      </c>
      <c r="B2" s="9" t="s">
        <v>270</v>
      </c>
      <c r="C2" s="32" t="s">
        <v>271</v>
      </c>
      <c r="D2" s="9" t="s">
        <v>272</v>
      </c>
      <c r="F2" s="106" t="s">
        <v>1852</v>
      </c>
    </row>
    <row r="3" customHeight="1" spans="1:28">
      <c r="A3" s="304" t="s">
        <v>164</v>
      </c>
      <c r="B3" s="9" t="s">
        <v>1913</v>
      </c>
      <c r="C3" s="91">
        <v>500</v>
      </c>
      <c r="D3" s="9"/>
      <c r="F3" s="305" t="s">
        <v>1853</v>
      </c>
      <c r="G3" s="306" t="s">
        <v>1854</v>
      </c>
      <c r="H3" s="307"/>
      <c r="I3" s="307"/>
      <c r="J3" s="325"/>
      <c r="K3" s="83"/>
      <c r="L3" s="209"/>
      <c r="T3" s="115"/>
      <c r="U3" s="115"/>
      <c r="V3" s="115"/>
      <c r="W3" s="115"/>
      <c r="X3" s="115"/>
      <c r="Y3" s="115">
        <v>0</v>
      </c>
      <c r="Z3" s="115"/>
      <c r="AA3" s="115"/>
      <c r="AB3" s="115"/>
    </row>
    <row r="4" customHeight="1" spans="1:28">
      <c r="A4" s="308"/>
      <c r="B4" s="9" t="s">
        <v>1914</v>
      </c>
      <c r="C4" s="91">
        <v>300</v>
      </c>
      <c r="D4" s="9"/>
      <c r="F4" s="309" t="s">
        <v>1857</v>
      </c>
      <c r="G4" s="310"/>
      <c r="H4" s="310"/>
      <c r="I4" s="310"/>
      <c r="J4" s="326"/>
      <c r="K4" s="309" t="s">
        <v>1858</v>
      </c>
      <c r="L4" s="310"/>
      <c r="M4" s="310"/>
      <c r="N4" s="326"/>
      <c r="T4" s="115"/>
      <c r="U4" s="115"/>
      <c r="V4" s="115"/>
      <c r="W4" s="115"/>
      <c r="X4" s="115"/>
      <c r="Y4" s="115">
        <v>2</v>
      </c>
      <c r="Z4" s="115"/>
      <c r="AA4" s="115"/>
      <c r="AB4" s="115"/>
    </row>
    <row r="5" customHeight="1" spans="1:29">
      <c r="A5" s="308"/>
      <c r="B5" s="9" t="s">
        <v>1915</v>
      </c>
      <c r="C5" s="91">
        <v>1</v>
      </c>
      <c r="D5" s="9" t="s">
        <v>1916</v>
      </c>
      <c r="F5" s="311" t="s">
        <v>1860</v>
      </c>
      <c r="G5" s="312" t="s">
        <v>1861</v>
      </c>
      <c r="H5" s="313"/>
      <c r="I5" s="327"/>
      <c r="J5" s="311" t="s">
        <v>1862</v>
      </c>
      <c r="K5" s="83"/>
      <c r="T5" s="115"/>
      <c r="U5" s="115"/>
      <c r="V5" s="115"/>
      <c r="W5" s="1"/>
      <c r="X5" s="1"/>
      <c r="Y5" s="1">
        <v>2</v>
      </c>
      <c r="Z5" s="1"/>
      <c r="AA5" s="1"/>
      <c r="AB5" s="1"/>
      <c r="AC5" s="1"/>
    </row>
    <row r="6" customHeight="1" spans="1:29">
      <c r="A6" s="308"/>
      <c r="B6" s="9" t="s">
        <v>1917</v>
      </c>
      <c r="C6" s="91">
        <v>1</v>
      </c>
      <c r="D6" s="9" t="s">
        <v>1916</v>
      </c>
      <c r="F6" s="314" t="s">
        <v>1863</v>
      </c>
      <c r="G6" s="315" t="s">
        <v>1864</v>
      </c>
      <c r="H6" s="316"/>
      <c r="I6" s="328"/>
      <c r="J6" s="28" t="s">
        <v>1865</v>
      </c>
      <c r="U6" s="1"/>
      <c r="V6" s="1"/>
      <c r="W6" s="114"/>
      <c r="X6" s="114"/>
      <c r="Y6" s="1">
        <v>2</v>
      </c>
      <c r="Z6" s="114"/>
      <c r="AA6" s="114"/>
      <c r="AB6" s="114"/>
      <c r="AC6" s="114"/>
    </row>
    <row r="7" customHeight="1" spans="1:25">
      <c r="A7" s="308"/>
      <c r="B7" s="9" t="s">
        <v>1918</v>
      </c>
      <c r="C7" s="91">
        <v>0.95</v>
      </c>
      <c r="D7" s="9" t="s">
        <v>1919</v>
      </c>
      <c r="F7" s="317"/>
      <c r="G7" s="315" t="s">
        <v>1868</v>
      </c>
      <c r="H7" s="316"/>
      <c r="I7" s="328"/>
      <c r="J7" s="28" t="s">
        <v>1193</v>
      </c>
      <c r="U7" s="114"/>
      <c r="V7" s="114"/>
      <c r="W7" s="114"/>
      <c r="X7" s="114"/>
      <c r="Y7" s="222">
        <v>0</v>
      </c>
    </row>
    <row r="8" customHeight="1" spans="1:27">
      <c r="A8" s="308"/>
      <c r="B8" s="9" t="s">
        <v>1920</v>
      </c>
      <c r="C8" s="91">
        <v>0.9</v>
      </c>
      <c r="D8" s="9" t="s">
        <v>1921</v>
      </c>
      <c r="F8" s="317"/>
      <c r="G8" s="312" t="s">
        <v>1872</v>
      </c>
      <c r="H8" s="313"/>
      <c r="I8" s="327"/>
      <c r="J8" s="28" t="s">
        <v>1873</v>
      </c>
      <c r="U8" s="114"/>
      <c r="V8" s="114"/>
      <c r="W8" s="114"/>
      <c r="X8" s="114"/>
      <c r="Y8" s="1"/>
      <c r="Z8" s="114"/>
      <c r="AA8" s="114"/>
    </row>
    <row r="9" customHeight="1" spans="1:28">
      <c r="A9" s="318"/>
      <c r="B9" s="9" t="s">
        <v>1855</v>
      </c>
      <c r="C9" s="91">
        <v>10</v>
      </c>
      <c r="D9" s="92" t="s">
        <v>1856</v>
      </c>
      <c r="F9" s="319"/>
      <c r="G9" s="312" t="s">
        <v>1875</v>
      </c>
      <c r="H9" s="313"/>
      <c r="I9" s="327"/>
      <c r="J9" s="28" t="s">
        <v>1194</v>
      </c>
      <c r="U9" s="114"/>
      <c r="V9" s="114"/>
      <c r="W9" s="114"/>
      <c r="X9" s="114"/>
      <c r="Y9" s="1"/>
      <c r="Z9" s="114"/>
      <c r="AA9" s="114"/>
      <c r="AB9" s="114"/>
    </row>
    <row r="10" customHeight="1" spans="1:25">
      <c r="A10" s="126" t="s">
        <v>1922</v>
      </c>
      <c r="B10" s="9" t="s">
        <v>1923</v>
      </c>
      <c r="C10" s="128">
        <f>C3/C5/C6/C7</f>
        <v>526.315789473684</v>
      </c>
      <c r="D10" s="9" t="s">
        <v>1924</v>
      </c>
      <c r="F10" s="312" t="s">
        <v>1877</v>
      </c>
      <c r="G10" s="313"/>
      <c r="H10" s="313"/>
      <c r="I10" s="327"/>
      <c r="J10" s="28" t="s">
        <v>1090</v>
      </c>
      <c r="U10" s="114"/>
      <c r="V10" s="114"/>
      <c r="W10" s="114"/>
      <c r="X10" s="114"/>
      <c r="Y10" s="114"/>
    </row>
    <row r="11" customHeight="1" spans="1:25">
      <c r="A11" s="29" t="s">
        <v>1925</v>
      </c>
      <c r="B11" s="9" t="s">
        <v>1926</v>
      </c>
      <c r="C11" s="32">
        <f>C4*C5</f>
        <v>300</v>
      </c>
      <c r="D11" s="9" t="s">
        <v>1927</v>
      </c>
      <c r="F11" s="312" t="s">
        <v>1879</v>
      </c>
      <c r="G11" s="313"/>
      <c r="H11" s="313"/>
      <c r="I11" s="327"/>
      <c r="J11" s="28" t="s">
        <v>1880</v>
      </c>
      <c r="S11" s="114"/>
      <c r="T11" s="114"/>
      <c r="U11" s="114"/>
      <c r="V11" s="114"/>
      <c r="W11" s="114"/>
      <c r="X11" s="114"/>
      <c r="Y11" s="114"/>
    </row>
    <row r="12" customHeight="1" spans="1:25">
      <c r="A12" s="100" t="s">
        <v>1928</v>
      </c>
      <c r="B12" s="9" t="s">
        <v>1929</v>
      </c>
      <c r="C12" s="108" t="s">
        <v>1930</v>
      </c>
      <c r="D12" s="320" t="s">
        <v>1931</v>
      </c>
      <c r="F12" s="312" t="s">
        <v>1882</v>
      </c>
      <c r="G12" s="313"/>
      <c r="H12" s="313"/>
      <c r="I12" s="327"/>
      <c r="J12" s="28" t="s">
        <v>1883</v>
      </c>
      <c r="Q12" s="114"/>
      <c r="R12" s="114"/>
      <c r="S12" s="114"/>
      <c r="T12" s="114"/>
      <c r="V12" s="114"/>
      <c r="W12" s="114"/>
      <c r="X12" s="114"/>
      <c r="Y12" s="114"/>
    </row>
    <row r="13" customHeight="1" spans="1:25">
      <c r="A13" s="101"/>
      <c r="B13" s="9" t="s">
        <v>1932</v>
      </c>
      <c r="C13" s="321">
        <v>598</v>
      </c>
      <c r="D13" s="322"/>
      <c r="F13" s="1"/>
      <c r="G13" s="1"/>
      <c r="H13" s="1"/>
      <c r="V13" s="114"/>
      <c r="W13" s="114"/>
      <c r="X13" s="114"/>
      <c r="Y13" s="114"/>
    </row>
    <row r="14" customHeight="1" spans="1:25">
      <c r="A14" s="101"/>
      <c r="B14" s="9" t="s">
        <v>1933</v>
      </c>
      <c r="C14" s="321">
        <v>400</v>
      </c>
      <c r="D14" s="201"/>
      <c r="F14" s="1" t="s">
        <v>1934</v>
      </c>
      <c r="G14" s="1"/>
      <c r="H14" s="1"/>
      <c r="V14" s="114"/>
      <c r="W14" s="114"/>
      <c r="X14" s="114"/>
      <c r="Y14" s="114"/>
    </row>
    <row r="15" customHeight="1" spans="1:24">
      <c r="A15" s="101"/>
      <c r="B15" s="9" t="s">
        <v>1935</v>
      </c>
      <c r="C15" s="321">
        <v>0.404</v>
      </c>
      <c r="D15" s="202" t="s">
        <v>1936</v>
      </c>
      <c r="F15" s="1"/>
      <c r="G15" s="1"/>
      <c r="H15" s="1"/>
      <c r="V15" s="114"/>
      <c r="W15" s="114"/>
      <c r="X15" s="114"/>
    </row>
    <row r="16" customHeight="1" spans="1:25">
      <c r="A16" s="110"/>
      <c r="B16" s="9" t="s">
        <v>1937</v>
      </c>
      <c r="C16" s="259">
        <f>2*PI()*C13*C14/60000</f>
        <v>25.0489654246226</v>
      </c>
      <c r="D16" s="201" t="s">
        <v>1938</v>
      </c>
      <c r="F16" s="1"/>
      <c r="G16" s="1"/>
      <c r="H16" s="1"/>
      <c r="V16" s="114"/>
      <c r="W16" s="114"/>
      <c r="Y16" s="114"/>
    </row>
    <row r="17" customHeight="1" spans="1:25">
      <c r="A17" s="100" t="s">
        <v>1939</v>
      </c>
      <c r="B17" s="9" t="s">
        <v>1940</v>
      </c>
      <c r="C17" s="177">
        <v>9.8</v>
      </c>
      <c r="D17" s="9" t="s">
        <v>1941</v>
      </c>
      <c r="F17" s="1"/>
      <c r="G17" s="1"/>
      <c r="H17" s="1"/>
      <c r="V17" s="114"/>
      <c r="W17" s="114"/>
      <c r="X17" s="114"/>
      <c r="Y17" s="114"/>
    </row>
    <row r="18" customHeight="1" spans="1:25">
      <c r="A18" s="101"/>
      <c r="B18" s="9" t="s">
        <v>1942</v>
      </c>
      <c r="C18" s="128">
        <f>2*PI()*C13/C17/C7</f>
        <v>403.58161264161</v>
      </c>
      <c r="D18" s="9" t="s">
        <v>1943</v>
      </c>
      <c r="F18" s="1"/>
      <c r="G18" s="1"/>
      <c r="H18" s="1"/>
      <c r="V18" s="114"/>
      <c r="W18" s="114"/>
      <c r="X18" s="114"/>
      <c r="Y18" s="114"/>
    </row>
    <row r="19" customHeight="1" spans="1:24">
      <c r="A19" s="110"/>
      <c r="B19" s="9" t="s">
        <v>1944</v>
      </c>
      <c r="C19" s="128">
        <f>IF(C15=0,C18*C14/C8/1000,C15*C14/C8)</f>
        <v>179.555555555556</v>
      </c>
      <c r="D19" s="9" t="s">
        <v>1945</v>
      </c>
      <c r="F19" s="1"/>
      <c r="G19" s="1"/>
      <c r="H19" s="1"/>
      <c r="V19" s="114"/>
      <c r="W19" s="114"/>
      <c r="X19" s="114"/>
    </row>
    <row r="20" customHeight="1" spans="1:23">
      <c r="A20" s="286"/>
      <c r="B20" s="287"/>
      <c r="C20" s="288"/>
      <c r="D20" s="323"/>
      <c r="F20" s="1"/>
      <c r="G20" s="1"/>
      <c r="H20" s="1"/>
      <c r="O20" s="1"/>
      <c r="V20" s="114"/>
      <c r="W20" s="114"/>
    </row>
    <row r="21" customHeight="1" spans="1:23">
      <c r="A21" s="324" t="s">
        <v>1946</v>
      </c>
      <c r="B21" s="324"/>
      <c r="C21" s="324"/>
      <c r="D21" s="324"/>
      <c r="F21" s="1"/>
      <c r="G21" s="1"/>
      <c r="H21" s="1"/>
      <c r="O21" s="1"/>
      <c r="P21" s="1"/>
      <c r="Q21" s="1"/>
      <c r="R21" s="1"/>
      <c r="V21" s="114"/>
      <c r="W21" s="114"/>
    </row>
    <row r="22" customHeight="1" spans="1:25">
      <c r="A22" s="324"/>
      <c r="B22" s="324"/>
      <c r="C22" s="324"/>
      <c r="D22" s="324"/>
      <c r="F22" s="1"/>
      <c r="G22" s="1"/>
      <c r="H22" s="1"/>
      <c r="V22" s="114"/>
      <c r="W22" s="114"/>
      <c r="Y22" s="1"/>
    </row>
    <row r="23" customHeight="1" spans="1:26">
      <c r="A23" s="324"/>
      <c r="B23" s="324"/>
      <c r="C23" s="324"/>
      <c r="D23" s="324"/>
      <c r="F23" s="1"/>
      <c r="G23" s="1"/>
      <c r="H23" s="1"/>
      <c r="V23" s="114"/>
      <c r="W23" s="114"/>
      <c r="X23" s="1"/>
      <c r="Z23" s="1"/>
    </row>
    <row r="24" customHeight="1" spans="1:26">
      <c r="A24" s="324"/>
      <c r="B24" s="324"/>
      <c r="C24" s="324"/>
      <c r="D24" s="324"/>
      <c r="F24" s="1"/>
      <c r="G24" s="1"/>
      <c r="H24" s="1"/>
      <c r="U24" s="1"/>
      <c r="V24" s="114"/>
      <c r="Z24" s="1"/>
    </row>
    <row r="25" customHeight="1" spans="1:26">
      <c r="A25" s="324"/>
      <c r="B25" s="324"/>
      <c r="C25" s="324"/>
      <c r="D25" s="324"/>
      <c r="F25" s="1"/>
      <c r="G25" s="1"/>
      <c r="H25" s="1"/>
      <c r="S25" s="1"/>
      <c r="T25" s="1"/>
      <c r="Z25" s="1"/>
    </row>
    <row r="26" customHeight="1" spans="1:26">
      <c r="A26" s="324"/>
      <c r="B26" s="324"/>
      <c r="C26" s="324"/>
      <c r="D26" s="324"/>
      <c r="F26" s="1"/>
      <c r="G26" s="1"/>
      <c r="H26" s="1"/>
      <c r="N26" s="106"/>
      <c r="Z26" s="1"/>
    </row>
    <row r="27" customHeight="1" spans="1:26">
      <c r="A27" s="324"/>
      <c r="B27" s="324"/>
      <c r="C27" s="324"/>
      <c r="D27" s="324"/>
      <c r="F27" s="1"/>
      <c r="G27" s="1"/>
      <c r="H27" s="1"/>
      <c r="Z27" s="1"/>
    </row>
    <row r="28" customHeight="1" spans="1:26">
      <c r="A28" s="324"/>
      <c r="B28" s="324"/>
      <c r="C28" s="324"/>
      <c r="D28" s="324"/>
      <c r="F28" s="1"/>
      <c r="G28" s="1"/>
      <c r="H28" s="1"/>
      <c r="Z28" s="1"/>
    </row>
    <row r="29" customHeight="1" spans="1:26">
      <c r="A29" s="324"/>
      <c r="B29" s="324"/>
      <c r="C29" s="324"/>
      <c r="D29" s="324"/>
      <c r="F29" s="1"/>
      <c r="G29" s="1"/>
      <c r="H29" s="1"/>
      <c r="Z29" s="1"/>
    </row>
    <row r="30" customHeight="1" spans="1:26">
      <c r="A30" s="324"/>
      <c r="B30" s="324"/>
      <c r="C30" s="324"/>
      <c r="D30" s="324"/>
      <c r="G30" s="1"/>
      <c r="H30" s="1"/>
      <c r="Z30" s="1"/>
    </row>
    <row r="31" customHeight="1" spans="1:26">
      <c r="A31" s="324"/>
      <c r="B31" s="324"/>
      <c r="C31" s="324"/>
      <c r="D31" s="324"/>
      <c r="F31" s="1"/>
      <c r="G31" s="1"/>
      <c r="H31" s="1"/>
      <c r="Z31" s="1"/>
    </row>
    <row r="32" customHeight="1" spans="1:27">
      <c r="A32" s="324"/>
      <c r="B32" s="324"/>
      <c r="C32" s="324"/>
      <c r="D32" s="324"/>
      <c r="F32" s="1"/>
      <c r="G32" s="1"/>
      <c r="H32" s="1"/>
      <c r="AA32" s="1"/>
    </row>
    <row r="33" customHeight="1" spans="1:27">
      <c r="A33" s="324"/>
      <c r="B33" s="324"/>
      <c r="C33" s="324"/>
      <c r="D33" s="324"/>
      <c r="F33" s="1"/>
      <c r="G33" s="1"/>
      <c r="H33" s="1"/>
      <c r="AA33" s="1"/>
    </row>
    <row r="34" customHeight="1" spans="1:27">
      <c r="A34" s="324"/>
      <c r="B34" s="324"/>
      <c r="C34" s="324"/>
      <c r="D34" s="324"/>
      <c r="F34" s="1"/>
      <c r="G34" s="1"/>
      <c r="H34" s="1"/>
      <c r="AA34" s="1"/>
    </row>
    <row r="35" customHeight="1" spans="1:27">
      <c r="A35" s="324"/>
      <c r="B35" s="324"/>
      <c r="C35" s="324"/>
      <c r="D35" s="324"/>
      <c r="F35" s="1"/>
      <c r="G35" s="1"/>
      <c r="H35" s="1"/>
      <c r="AA35" s="1"/>
    </row>
    <row r="36" customHeight="1" spans="1:27">
      <c r="A36" s="324"/>
      <c r="B36" s="324"/>
      <c r="C36" s="324"/>
      <c r="D36" s="324"/>
      <c r="F36" s="1"/>
      <c r="G36" s="1"/>
      <c r="H36" s="1"/>
      <c r="AA36" s="1"/>
    </row>
    <row r="37" customHeight="1" spans="1:27">
      <c r="A37" s="324"/>
      <c r="B37" s="324"/>
      <c r="C37" s="324"/>
      <c r="D37" s="324"/>
      <c r="F37" s="1"/>
      <c r="G37" s="1"/>
      <c r="H37" s="1"/>
      <c r="AA37" s="1"/>
    </row>
    <row r="38" customHeight="1" spans="1:27">
      <c r="A38" s="324"/>
      <c r="B38" s="324"/>
      <c r="C38" s="324"/>
      <c r="D38" s="324"/>
      <c r="F38" s="1"/>
      <c r="G38" s="1"/>
      <c r="H38" s="1"/>
      <c r="AA38" s="1"/>
    </row>
    <row r="39" customHeight="1" spans="1:27">
      <c r="A39" s="324"/>
      <c r="B39" s="324"/>
      <c r="C39" s="324"/>
      <c r="D39" s="324"/>
      <c r="F39" s="1"/>
      <c r="G39" s="1"/>
      <c r="H39" s="1"/>
      <c r="AA39" s="1"/>
    </row>
    <row r="40" customHeight="1" spans="1:27">
      <c r="A40" s="324"/>
      <c r="B40" s="324"/>
      <c r="C40" s="324"/>
      <c r="D40" s="324"/>
      <c r="F40" s="146"/>
      <c r="G40" s="1"/>
      <c r="H40" s="1"/>
      <c r="M40" s="303"/>
      <c r="N40" s="106"/>
      <c r="AA40" s="1"/>
    </row>
    <row r="41" customHeight="1" spans="1:27">
      <c r="A41" s="324"/>
      <c r="B41" s="324"/>
      <c r="C41" s="324"/>
      <c r="D41" s="324"/>
      <c r="F41" s="222"/>
      <c r="G41" s="1"/>
      <c r="H41" s="300"/>
      <c r="I41" s="300"/>
      <c r="J41" s="300"/>
      <c r="K41" s="303"/>
      <c r="L41" s="303"/>
      <c r="M41" s="303"/>
      <c r="AA41" s="1"/>
    </row>
    <row r="42" customHeight="1" spans="1:27">
      <c r="A42" s="301" t="s">
        <v>1947</v>
      </c>
      <c r="B42" s="301"/>
      <c r="C42" s="301"/>
      <c r="D42" s="301"/>
      <c r="F42" s="222"/>
      <c r="G42" s="1"/>
      <c r="H42" s="300"/>
      <c r="I42" s="300"/>
      <c r="J42" s="300"/>
      <c r="K42" s="303"/>
      <c r="L42" s="303"/>
      <c r="M42" s="300"/>
      <c r="AA42" s="1"/>
    </row>
    <row r="43" customHeight="1" spans="1:27">
      <c r="A43" s="301"/>
      <c r="B43" s="301"/>
      <c r="C43" s="301"/>
      <c r="D43" s="301"/>
      <c r="F43" s="222"/>
      <c r="G43" s="1"/>
      <c r="H43" s="300"/>
      <c r="I43" s="300"/>
      <c r="J43" s="300"/>
      <c r="K43" s="300"/>
      <c r="L43" s="300"/>
      <c r="M43" s="1"/>
      <c r="AA43" s="1"/>
    </row>
    <row r="44" customHeight="1" spans="1:27">
      <c r="A44" s="301"/>
      <c r="B44" s="301"/>
      <c r="C44" s="301"/>
      <c r="D44" s="301"/>
      <c r="F44" s="222"/>
      <c r="G44" s="1"/>
      <c r="H44" s="300"/>
      <c r="I44" s="300"/>
      <c r="J44" s="300"/>
      <c r="K44" s="1"/>
      <c r="L44" s="1"/>
      <c r="M44" s="1"/>
      <c r="AA44" s="1"/>
    </row>
    <row r="45" customHeight="1" spans="1:27">
      <c r="A45" s="301"/>
      <c r="B45" s="301"/>
      <c r="C45" s="301"/>
      <c r="D45" s="301"/>
      <c r="F45" s="1"/>
      <c r="G45" s="1"/>
      <c r="H45" s="1"/>
      <c r="I45" s="1"/>
      <c r="J45" s="1"/>
      <c r="K45" s="1"/>
      <c r="L45" s="1"/>
      <c r="M45" s="1"/>
      <c r="AA45" s="1"/>
    </row>
    <row r="46" customHeight="1" spans="1:27">
      <c r="A46" s="137"/>
      <c r="B46" s="137"/>
      <c r="C46" s="137"/>
      <c r="D46" s="137"/>
      <c r="F46" s="222"/>
      <c r="G46" s="1"/>
      <c r="H46" s="1"/>
      <c r="I46" s="1"/>
      <c r="J46" s="1"/>
      <c r="K46" s="1"/>
      <c r="L46" s="1"/>
      <c r="M46" s="1"/>
      <c r="AA46" s="1"/>
    </row>
    <row r="47" customHeight="1" spans="1:27">
      <c r="A47" s="135"/>
      <c r="B47" s="135"/>
      <c r="C47" s="135"/>
      <c r="D47" s="135"/>
      <c r="F47" s="1"/>
      <c r="G47" s="1"/>
      <c r="H47" s="1"/>
      <c r="I47" s="1"/>
      <c r="J47" s="1"/>
      <c r="K47" s="1"/>
      <c r="L47" s="1"/>
      <c r="M47" s="1"/>
      <c r="AA47" s="1"/>
    </row>
    <row r="48" customHeight="1" spans="1:27">
      <c r="A48" s="135"/>
      <c r="B48" s="135"/>
      <c r="C48" s="135"/>
      <c r="D48" s="135"/>
      <c r="F48" s="1"/>
      <c r="G48" s="1"/>
      <c r="H48" s="1"/>
      <c r="I48" s="1"/>
      <c r="J48" s="1"/>
      <c r="K48" s="1"/>
      <c r="L48" s="1"/>
      <c r="M48" s="1"/>
      <c r="AA48" s="1"/>
    </row>
    <row r="49" customHeight="1" spans="1:27">
      <c r="A49" s="135"/>
      <c r="F49" s="1"/>
      <c r="G49" s="1"/>
      <c r="H49" s="1"/>
      <c r="I49" s="1"/>
      <c r="J49" s="1"/>
      <c r="K49" s="1"/>
      <c r="L49" s="1"/>
      <c r="M49" s="1"/>
      <c r="AA49" s="1"/>
    </row>
    <row r="50" customHeight="1" spans="6:26">
      <c r="F50" s="1"/>
      <c r="G50" s="1"/>
      <c r="H50" s="1"/>
      <c r="I50" s="1"/>
      <c r="J50" s="1"/>
      <c r="K50" s="1"/>
      <c r="L50" s="1"/>
      <c r="M50" s="1"/>
      <c r="Z50" s="1"/>
    </row>
    <row r="51" customHeight="1" spans="7:26">
      <c r="G51" s="83"/>
      <c r="J51" s="1"/>
      <c r="K51" s="1"/>
      <c r="L51" s="1"/>
      <c r="M51" s="1"/>
      <c r="N51" s="1"/>
      <c r="O51" s="1"/>
      <c r="P51" s="1"/>
      <c r="Q51" s="1"/>
      <c r="Z51" s="1"/>
    </row>
    <row r="52" customHeight="1" spans="7:26">
      <c r="G52" s="83"/>
      <c r="J52" s="1"/>
      <c r="K52" s="1"/>
      <c r="L52" s="1"/>
      <c r="M52" s="1"/>
      <c r="N52" s="1"/>
      <c r="O52" s="1"/>
      <c r="P52" s="1"/>
      <c r="Q52" s="1"/>
      <c r="R52" s="1"/>
      <c r="Z52" s="1"/>
    </row>
    <row r="53" customHeight="1" spans="5:26">
      <c r="E53" s="292"/>
      <c r="G53" s="83"/>
      <c r="J53" s="1"/>
      <c r="K53" s="1"/>
      <c r="L53" s="1"/>
      <c r="M53" s="1"/>
      <c r="N53" s="1"/>
      <c r="O53" s="1"/>
      <c r="P53" s="1"/>
      <c r="Q53" s="1"/>
      <c r="Z53" s="1"/>
    </row>
    <row r="54" customHeight="1" spans="6:30">
      <c r="F54" s="1"/>
      <c r="G54" s="1"/>
      <c r="H54" s="1"/>
      <c r="I54" s="1"/>
      <c r="J54" s="1"/>
      <c r="K54" s="1"/>
      <c r="L54" s="1"/>
      <c r="M54" s="1"/>
      <c r="N54" s="1"/>
      <c r="O54" s="1"/>
      <c r="P54" s="1"/>
      <c r="Q54" s="1"/>
      <c r="AD54" s="1"/>
    </row>
    <row r="55" customHeight="1" spans="6:30">
      <c r="F55" s="1"/>
      <c r="G55" s="1"/>
      <c r="H55" s="1"/>
      <c r="I55" s="1"/>
      <c r="J55" s="1"/>
      <c r="K55" s="1"/>
      <c r="L55" s="1"/>
      <c r="M55" s="1"/>
      <c r="N55" s="1"/>
      <c r="O55" s="1"/>
      <c r="P55" s="1"/>
      <c r="Q55" s="1"/>
      <c r="AD55" s="1"/>
    </row>
    <row r="56" customHeight="1" spans="6:30">
      <c r="F56" s="1"/>
      <c r="G56" s="1"/>
      <c r="H56" s="1"/>
      <c r="I56" s="1"/>
      <c r="J56" s="1"/>
      <c r="K56" s="1"/>
      <c r="L56" s="1"/>
      <c r="M56" s="1"/>
      <c r="AD56" s="1"/>
    </row>
    <row r="57" customHeight="1" spans="6:30">
      <c r="F57" s="1"/>
      <c r="G57" s="1"/>
      <c r="H57" s="1"/>
      <c r="I57" s="1"/>
      <c r="J57" s="1"/>
      <c r="K57" s="1"/>
      <c r="L57" s="1"/>
      <c r="M57" s="1"/>
      <c r="AD57" s="1"/>
    </row>
    <row r="58" customHeight="1" spans="6:31">
      <c r="F58" s="1"/>
      <c r="G58" s="1"/>
      <c r="H58" s="1"/>
      <c r="I58" s="1"/>
      <c r="J58" s="1"/>
      <c r="K58" s="1"/>
      <c r="L58" s="1"/>
      <c r="M58" s="1"/>
      <c r="S58" s="1"/>
      <c r="AE58" s="1"/>
    </row>
    <row r="59" customHeight="1" spans="6:27">
      <c r="F59" s="1"/>
      <c r="G59" s="1"/>
      <c r="H59" s="1"/>
      <c r="I59" s="1"/>
      <c r="J59" s="1"/>
      <c r="K59" s="1"/>
      <c r="L59" s="1"/>
      <c r="M59" s="1"/>
      <c r="AA59" s="1"/>
    </row>
    <row r="60" customHeight="1" spans="6:27">
      <c r="F60" s="1"/>
      <c r="G60" s="1"/>
      <c r="H60" s="1"/>
      <c r="I60" s="1"/>
      <c r="J60" s="1"/>
      <c r="K60" s="1"/>
      <c r="L60" s="1"/>
      <c r="M60" s="1"/>
      <c r="AA60" s="1"/>
    </row>
    <row r="61" customHeight="1" spans="6:27">
      <c r="F61" s="1"/>
      <c r="G61" s="1"/>
      <c r="H61" s="1"/>
      <c r="I61" s="1"/>
      <c r="J61" s="1"/>
      <c r="K61" s="1"/>
      <c r="L61" s="1"/>
      <c r="M61" s="1"/>
      <c r="AA61" s="1"/>
    </row>
    <row r="62" customHeight="1" spans="6:27">
      <c r="F62" s="1"/>
      <c r="G62" s="1"/>
      <c r="H62" s="1"/>
      <c r="I62" s="1"/>
      <c r="J62" s="1"/>
      <c r="K62" s="1"/>
      <c r="L62" s="1"/>
      <c r="M62" s="1"/>
      <c r="AA62" s="1"/>
    </row>
    <row r="63" customHeight="1" spans="6:27">
      <c r="F63" s="1"/>
      <c r="G63" s="1"/>
      <c r="H63" s="1"/>
      <c r="I63" s="1"/>
      <c r="J63" s="1"/>
      <c r="K63" s="1"/>
      <c r="L63" s="1"/>
      <c r="M63" s="1"/>
      <c r="AA63" s="1"/>
    </row>
    <row r="64" customHeight="1" spans="6:27">
      <c r="F64" s="1"/>
      <c r="G64" s="1"/>
      <c r="H64" s="1"/>
      <c r="I64" s="1"/>
      <c r="J64" s="1"/>
      <c r="K64" s="1"/>
      <c r="L64" s="1"/>
      <c r="M64" s="1"/>
      <c r="AA64" s="1"/>
    </row>
    <row r="65" customHeight="1" spans="6:27">
      <c r="F65" s="1"/>
      <c r="G65" s="1"/>
      <c r="H65" s="1"/>
      <c r="I65" s="1"/>
      <c r="J65" s="1"/>
      <c r="K65" s="1"/>
      <c r="L65" s="1"/>
      <c r="M65" s="1"/>
      <c r="AA65" s="1"/>
    </row>
    <row r="66" customHeight="1" spans="6:27">
      <c r="F66" s="1"/>
      <c r="G66" s="1"/>
      <c r="H66" s="1"/>
      <c r="I66" s="1"/>
      <c r="J66" s="1"/>
      <c r="K66" s="1"/>
      <c r="L66" s="1"/>
      <c r="M66" s="1"/>
      <c r="AA66" s="1"/>
    </row>
    <row r="67" customHeight="1" spans="6:27">
      <c r="F67" s="1"/>
      <c r="G67" s="1"/>
      <c r="H67" s="1"/>
      <c r="I67" s="1"/>
      <c r="J67" s="1"/>
      <c r="K67" s="1"/>
      <c r="L67" s="1"/>
      <c r="M67" s="1"/>
      <c r="AA67" s="1"/>
    </row>
    <row r="68" customHeight="1" spans="6:27">
      <c r="F68" s="1"/>
      <c r="G68" s="1"/>
      <c r="H68" s="1"/>
      <c r="I68" s="1"/>
      <c r="J68" s="1"/>
      <c r="K68" s="1"/>
      <c r="L68" s="1"/>
      <c r="M68" s="1"/>
      <c r="AA68" s="1"/>
    </row>
    <row r="69" customHeight="1" spans="6:27">
      <c r="F69" s="1"/>
      <c r="G69" s="1"/>
      <c r="H69" s="1"/>
      <c r="I69" s="1"/>
      <c r="J69" s="1"/>
      <c r="K69" s="1"/>
      <c r="L69" s="1"/>
      <c r="M69" s="1"/>
      <c r="AA69" s="1"/>
    </row>
    <row r="70" customHeight="1" spans="6:27">
      <c r="F70" s="1"/>
      <c r="G70" s="1"/>
      <c r="H70" s="1"/>
      <c r="I70" s="1"/>
      <c r="J70" s="1"/>
      <c r="K70" s="1"/>
      <c r="L70" s="1"/>
      <c r="M70" s="1"/>
      <c r="AA70" s="1"/>
    </row>
    <row r="71" customHeight="1" spans="6:27">
      <c r="F71" s="1"/>
      <c r="G71" s="1"/>
      <c r="H71" s="1"/>
      <c r="I71" s="1"/>
      <c r="J71" s="1"/>
      <c r="K71" s="1"/>
      <c r="L71" s="1"/>
      <c r="M71" s="1"/>
      <c r="AA71" s="1"/>
    </row>
    <row r="72" customHeight="1" spans="6:27">
      <c r="F72" s="1"/>
      <c r="G72" s="1"/>
      <c r="H72" s="1"/>
      <c r="I72" s="1"/>
      <c r="J72" s="1"/>
      <c r="K72" s="1"/>
      <c r="L72" s="1"/>
      <c r="M72" s="1"/>
      <c r="AA72" s="1"/>
    </row>
    <row r="73" customHeight="1" spans="6:27">
      <c r="F73" s="1"/>
      <c r="G73" s="1"/>
      <c r="H73" s="1"/>
      <c r="I73" s="1"/>
      <c r="J73" s="1"/>
      <c r="K73" s="1"/>
      <c r="L73" s="1"/>
      <c r="M73" s="1"/>
      <c r="AA73" s="1"/>
    </row>
    <row r="74" customHeight="1" spans="6:27">
      <c r="F74" s="1"/>
      <c r="G74" s="1"/>
      <c r="H74" s="1"/>
      <c r="I74" s="1"/>
      <c r="J74" s="1"/>
      <c r="K74" s="1"/>
      <c r="L74" s="1"/>
      <c r="M74" s="1"/>
      <c r="AA74" s="1"/>
    </row>
    <row r="75" customHeight="1" spans="6:27">
      <c r="F75" s="1"/>
      <c r="G75" s="1"/>
      <c r="H75" s="1"/>
      <c r="I75" s="1"/>
      <c r="J75" s="1"/>
      <c r="K75" s="1"/>
      <c r="L75" s="1"/>
      <c r="M75" s="1"/>
      <c r="AA75" s="1"/>
    </row>
    <row r="76" customHeight="1" spans="6:27">
      <c r="F76" s="1"/>
      <c r="G76" s="1"/>
      <c r="H76" s="1"/>
      <c r="I76" s="1"/>
      <c r="J76" s="1"/>
      <c r="K76" s="1"/>
      <c r="L76" s="1"/>
      <c r="M76" s="1"/>
      <c r="AA76" s="1"/>
    </row>
    <row r="77" customHeight="1" spans="6:27">
      <c r="F77" s="1"/>
      <c r="G77" s="1"/>
      <c r="H77" s="1"/>
      <c r="I77" s="1"/>
      <c r="J77" s="1"/>
      <c r="K77" s="1"/>
      <c r="L77" s="1"/>
      <c r="M77" s="1"/>
      <c r="AA77" s="1"/>
    </row>
    <row r="78" customHeight="1" spans="6:27">
      <c r="F78" s="1"/>
      <c r="G78" s="1"/>
      <c r="H78" s="1"/>
      <c r="I78" s="1"/>
      <c r="J78" s="1"/>
      <c r="K78" s="1"/>
      <c r="L78" s="1"/>
      <c r="M78" s="1"/>
      <c r="AA78" s="1"/>
    </row>
    <row r="79" customHeight="1" spans="6:27">
      <c r="F79" s="1"/>
      <c r="G79" s="1"/>
      <c r="H79" s="1"/>
      <c r="I79" s="1"/>
      <c r="J79" s="1"/>
      <c r="K79" s="1"/>
      <c r="L79" s="1"/>
      <c r="M79" s="1"/>
      <c r="N79" s="209"/>
      <c r="AA79" s="1"/>
    </row>
    <row r="80" customHeight="1" spans="6:27">
      <c r="F80" s="1"/>
      <c r="G80" s="1"/>
      <c r="H80" s="1"/>
      <c r="I80" s="1"/>
      <c r="J80" s="1"/>
      <c r="K80" s="1"/>
      <c r="L80" s="1"/>
      <c r="M80" s="1"/>
      <c r="N80" s="209"/>
      <c r="AA80" s="1"/>
    </row>
    <row r="81" customHeight="1" spans="6:27">
      <c r="F81" s="1"/>
      <c r="G81" s="1"/>
      <c r="H81" s="1"/>
      <c r="I81" s="1"/>
      <c r="J81" s="1"/>
      <c r="K81" s="1"/>
      <c r="L81" s="1"/>
      <c r="M81" s="1"/>
      <c r="N81" s="209"/>
      <c r="AA81" s="1"/>
    </row>
    <row r="82" customHeight="1" spans="6:27">
      <c r="F82" s="1"/>
      <c r="G82" s="1"/>
      <c r="H82" s="1"/>
      <c r="I82" s="1"/>
      <c r="J82" s="1"/>
      <c r="K82" s="1"/>
      <c r="L82" s="1"/>
      <c r="M82" s="1"/>
      <c r="N82" s="209"/>
      <c r="AA82" s="1"/>
    </row>
    <row r="83" customHeight="1" spans="6:27">
      <c r="F83" s="1"/>
      <c r="G83" s="1"/>
      <c r="H83" s="1"/>
      <c r="I83" s="1"/>
      <c r="J83" s="1"/>
      <c r="K83" s="1"/>
      <c r="L83" s="1"/>
      <c r="M83" s="1"/>
      <c r="N83" s="209"/>
      <c r="AA83" s="1"/>
    </row>
    <row r="84" customHeight="1" spans="6:27">
      <c r="F84" s="1"/>
      <c r="G84" s="1"/>
      <c r="H84" s="1"/>
      <c r="I84" s="1"/>
      <c r="J84" s="1"/>
      <c r="K84" s="1"/>
      <c r="L84" s="1"/>
      <c r="M84" s="1"/>
      <c r="N84" s="209"/>
      <c r="AA84" s="1"/>
    </row>
    <row r="85" customHeight="1" spans="6:27">
      <c r="F85" s="1"/>
      <c r="G85" s="1"/>
      <c r="H85" s="1"/>
      <c r="I85" s="1"/>
      <c r="J85" s="1"/>
      <c r="K85" s="1"/>
      <c r="L85" s="1"/>
      <c r="M85" s="1"/>
      <c r="AA85" s="1"/>
    </row>
    <row r="86" customHeight="1" spans="6:27">
      <c r="F86" s="1"/>
      <c r="G86" s="1"/>
      <c r="H86" s="1"/>
      <c r="I86" s="1"/>
      <c r="J86" s="1"/>
      <c r="K86" s="1"/>
      <c r="L86" s="1"/>
      <c r="M86" s="1"/>
      <c r="AA86" s="1"/>
    </row>
    <row r="87" customHeight="1" spans="6:27">
      <c r="F87" s="1"/>
      <c r="G87" s="1"/>
      <c r="H87" s="1"/>
      <c r="I87" s="1"/>
      <c r="J87" s="1"/>
      <c r="K87" s="1"/>
      <c r="L87" s="1"/>
      <c r="M87" s="1"/>
      <c r="AA87" s="1"/>
    </row>
    <row r="88" customHeight="1" spans="6:27">
      <c r="F88" s="1"/>
      <c r="G88" s="1"/>
      <c r="H88" s="1"/>
      <c r="I88" s="1"/>
      <c r="J88" s="1"/>
      <c r="K88" s="1"/>
      <c r="L88" s="1"/>
      <c r="M88" s="1"/>
      <c r="AA88" s="1"/>
    </row>
    <row r="89" customHeight="1" spans="6:27">
      <c r="F89" s="1"/>
      <c r="G89" s="1"/>
      <c r="H89" s="1"/>
      <c r="I89" s="1"/>
      <c r="J89" s="1"/>
      <c r="K89" s="1"/>
      <c r="L89" s="1"/>
      <c r="M89" s="1"/>
      <c r="AA89" s="1"/>
    </row>
    <row r="90" customHeight="1" spans="6:27">
      <c r="F90" s="1"/>
      <c r="G90" s="1"/>
      <c r="H90" s="1"/>
      <c r="I90" s="1"/>
      <c r="J90" s="1"/>
      <c r="K90" s="1"/>
      <c r="L90" s="1"/>
      <c r="M90" s="1"/>
      <c r="AA90" s="1"/>
    </row>
    <row r="91" customHeight="1" spans="6:27">
      <c r="F91" s="1"/>
      <c r="G91" s="1"/>
      <c r="H91" s="1"/>
      <c r="I91" s="1"/>
      <c r="J91" s="1"/>
      <c r="K91" s="1"/>
      <c r="L91" s="1"/>
      <c r="M91" s="1"/>
      <c r="AA91" s="1"/>
    </row>
    <row r="92" customHeight="1" spans="6:13">
      <c r="F92" s="1"/>
      <c r="G92" s="1"/>
      <c r="H92" s="1"/>
      <c r="I92" s="1"/>
      <c r="J92" s="1"/>
      <c r="K92" s="1"/>
      <c r="L92" s="1"/>
      <c r="M92" s="1"/>
    </row>
    <row r="93" customHeight="1" spans="6:13">
      <c r="F93" s="1"/>
      <c r="G93" s="1"/>
      <c r="H93" s="1"/>
      <c r="I93" s="1"/>
      <c r="J93" s="1"/>
      <c r="K93" s="1"/>
      <c r="L93" s="1"/>
      <c r="M93" s="1"/>
    </row>
    <row r="94" customHeight="1" spans="6:13">
      <c r="F94" s="1"/>
      <c r="G94" s="1"/>
      <c r="H94" s="1"/>
      <c r="I94" s="1"/>
      <c r="J94" s="1"/>
      <c r="K94" s="1"/>
      <c r="L94" s="1"/>
      <c r="M94" s="1"/>
    </row>
    <row r="95" customHeight="1" spans="6:13">
      <c r="F95" s="1"/>
      <c r="G95" s="1"/>
      <c r="H95" s="1"/>
      <c r="I95" s="1"/>
      <c r="J95" s="1"/>
      <c r="K95" s="1"/>
      <c r="L95" s="1"/>
      <c r="M95" s="1"/>
    </row>
    <row r="96" customHeight="1" spans="6:13">
      <c r="F96" s="1"/>
      <c r="G96" s="1"/>
      <c r="H96" s="1"/>
      <c r="I96" s="1"/>
      <c r="J96" s="1"/>
      <c r="K96" s="1"/>
      <c r="L96" s="1"/>
      <c r="M96" s="1"/>
    </row>
    <row r="97" customHeight="1" spans="6:13">
      <c r="F97" s="1" t="s">
        <v>1554</v>
      </c>
      <c r="G97" s="1"/>
      <c r="H97" s="1"/>
      <c r="I97" s="1"/>
      <c r="J97" s="1"/>
      <c r="K97" s="1"/>
      <c r="L97" s="1"/>
      <c r="M97" s="1"/>
    </row>
    <row r="98" customHeight="1" spans="6:13">
      <c r="F98" s="1"/>
      <c r="G98" s="1"/>
      <c r="H98" s="1"/>
      <c r="I98" s="1"/>
      <c r="J98" s="1"/>
      <c r="K98" s="1"/>
      <c r="L98" s="1"/>
      <c r="M98" s="1"/>
    </row>
    <row r="99" customHeight="1" spans="6:13">
      <c r="F99" s="1"/>
      <c r="G99" s="1"/>
      <c r="H99" s="1"/>
      <c r="I99" s="1"/>
      <c r="J99" s="1"/>
      <c r="K99" s="1"/>
      <c r="L99" s="1"/>
      <c r="M99" s="1"/>
    </row>
    <row r="100" customHeight="1" spans="6:13">
      <c r="F100" s="1"/>
      <c r="G100" s="1"/>
      <c r="H100" s="1"/>
      <c r="I100" s="1"/>
      <c r="J100" s="1"/>
      <c r="K100" s="1"/>
      <c r="L100" s="1"/>
      <c r="M100" s="1"/>
    </row>
    <row r="101" customHeight="1" spans="11:13">
      <c r="K101" s="1"/>
      <c r="L101" s="1"/>
      <c r="M101" s="1"/>
    </row>
    <row r="102" customHeight="1" spans="11:13">
      <c r="K102" s="1"/>
      <c r="L102" s="1"/>
      <c r="M102" s="1"/>
    </row>
    <row r="103" customHeight="1" spans="11:12">
      <c r="K103" s="1"/>
      <c r="L103" s="1"/>
    </row>
  </sheetData>
  <customSheetViews>
    <customSheetView guid="{27B96A40-A6B2-43F7-A93C-713F4207CB2A}">
      <selection activeCell="O7" sqref="O7"/>
      <pageMargins left="0.7" right="0.7" top="0.75" bottom="0.75" header="0.3" footer="0.3"/>
      <headerFooter/>
    </customSheetView>
  </customSheetViews>
  <mergeCells count="19">
    <mergeCell ref="A1:D1"/>
    <mergeCell ref="G3:J3"/>
    <mergeCell ref="F4:J4"/>
    <mergeCell ref="K4:N4"/>
    <mergeCell ref="G5:I5"/>
    <mergeCell ref="G6:I6"/>
    <mergeCell ref="G7:I7"/>
    <mergeCell ref="G8:I8"/>
    <mergeCell ref="G9:I9"/>
    <mergeCell ref="F10:I10"/>
    <mergeCell ref="F11:I11"/>
    <mergeCell ref="F12:I12"/>
    <mergeCell ref="A3:A9"/>
    <mergeCell ref="A12:A16"/>
    <mergeCell ref="A17:A19"/>
    <mergeCell ref="D12:D14"/>
    <mergeCell ref="F6:F9"/>
    <mergeCell ref="A42:D45"/>
    <mergeCell ref="A21:D41"/>
  </mergeCells>
  <pageMargins left="0.7" right="0.7" top="0.75" bottom="0.75" header="0.3" footer="0.3"/>
  <headerFooter/>
  <drawing r:id="rId1"/>
  <legacyDrawing r:id="rId2"/>
  <oleObjects>
    <mc:AlternateContent xmlns:mc="http://schemas.openxmlformats.org/markup-compatibility/2006">
      <mc:Choice Requires="x14">
        <oleObject shapeId="21506" progId="Equations" r:id="rId3">
          <objectPr defaultSize="0" r:id="rId4">
            <anchor moveWithCells="1">
              <from>
                <xdr:col>1</xdr:col>
                <xdr:colOff>1386840</xdr:colOff>
                <xdr:row>32</xdr:row>
                <xdr:rowOff>99060</xdr:rowOff>
              </from>
              <to>
                <xdr:col>2</xdr:col>
                <xdr:colOff>251460</xdr:colOff>
                <xdr:row>34</xdr:row>
                <xdr:rowOff>38100</xdr:rowOff>
              </to>
            </anchor>
          </objectPr>
        </oleObject>
      </mc:Choice>
      <mc:Fallback>
        <oleObject shapeId="21506" progId="Equations" r:id="rId3"/>
      </mc:Fallback>
    </mc:AlternateContent>
    <mc:AlternateContent xmlns:mc="http://schemas.openxmlformats.org/markup-compatibility/2006">
      <mc:Choice Requires="x14">
        <oleObject shapeId="21507" progId="Equations" r:id="rId5">
          <objectPr defaultSize="0" r:id="rId6">
            <anchor moveWithCells="1">
              <from>
                <xdr:col>0</xdr:col>
                <xdr:colOff>822960</xdr:colOff>
                <xdr:row>32</xdr:row>
                <xdr:rowOff>76200</xdr:rowOff>
              </from>
              <to>
                <xdr:col>1</xdr:col>
                <xdr:colOff>297180</xdr:colOff>
                <xdr:row>34</xdr:row>
                <xdr:rowOff>60960</xdr:rowOff>
              </to>
            </anchor>
          </objectPr>
        </oleObject>
      </mc:Choice>
      <mc:Fallback>
        <oleObject shapeId="21507" progId="Equations" r:id="rId5"/>
      </mc:Fallback>
    </mc:AlternateContent>
    <mc:AlternateContent xmlns:mc="http://schemas.openxmlformats.org/markup-compatibility/2006">
      <mc:Choice Requires="x14">
        <oleObject shapeId="21508" progId="Equations" r:id="rId7">
          <objectPr defaultSize="0" r:id="rId8">
            <anchor moveWithCells="1">
              <from>
                <xdr:col>0</xdr:col>
                <xdr:colOff>830580</xdr:colOff>
                <xdr:row>34</xdr:row>
                <xdr:rowOff>106680</xdr:rowOff>
              </from>
              <to>
                <xdr:col>1</xdr:col>
                <xdr:colOff>563880</xdr:colOff>
                <xdr:row>36</xdr:row>
                <xdr:rowOff>67945</xdr:rowOff>
              </to>
            </anchor>
          </objectPr>
        </oleObject>
      </mc:Choice>
      <mc:Fallback>
        <oleObject shapeId="21508" progId="Equations" r:id="rId7"/>
      </mc:Fallback>
    </mc:AlternateContent>
    <mc:AlternateContent xmlns:mc="http://schemas.openxmlformats.org/markup-compatibility/2006">
      <mc:Choice Requires="x14">
        <oleObject shapeId="21509" progId="Equations" r:id="rId9">
          <objectPr defaultSize="0" r:id="rId10">
            <anchor moveWithCells="1">
              <from>
                <xdr:col>1</xdr:col>
                <xdr:colOff>1394460</xdr:colOff>
                <xdr:row>34</xdr:row>
                <xdr:rowOff>91440</xdr:rowOff>
              </from>
              <to>
                <xdr:col>2</xdr:col>
                <xdr:colOff>594360</xdr:colOff>
                <xdr:row>36</xdr:row>
                <xdr:rowOff>38100</xdr:rowOff>
              </to>
            </anchor>
          </objectPr>
        </oleObject>
      </mc:Choice>
      <mc:Fallback>
        <oleObject shapeId="21509" progId="Equations" r:id="rId9"/>
      </mc:Fallback>
    </mc:AlternateContent>
    <mc:AlternateContent xmlns:mc="http://schemas.openxmlformats.org/markup-compatibility/2006">
      <mc:Choice Requires="x14">
        <oleObject shapeId="21511" progId="Equations" r:id="rId11">
          <objectPr defaultSize="0" r:id="rId12">
            <anchor moveWithCells="1">
              <from>
                <xdr:col>2</xdr:col>
                <xdr:colOff>441960</xdr:colOff>
                <xdr:row>36</xdr:row>
                <xdr:rowOff>114300</xdr:rowOff>
              </from>
              <to>
                <xdr:col>3</xdr:col>
                <xdr:colOff>982345</xdr:colOff>
                <xdr:row>37</xdr:row>
                <xdr:rowOff>182880</xdr:rowOff>
              </to>
            </anchor>
          </objectPr>
        </oleObject>
      </mc:Choice>
      <mc:Fallback>
        <oleObject shapeId="21511" progId="Equations" r:id="rId11"/>
      </mc:Fallback>
    </mc:AlternateContent>
    <mc:AlternateContent xmlns:mc="http://schemas.openxmlformats.org/markup-compatibility/2006">
      <mc:Choice Requires="x14">
        <oleObject shapeId="21512" progId="Equations" r:id="rId13">
          <objectPr defaultSize="0" r:id="rId14">
            <anchor moveWithCells="1">
              <from>
                <xdr:col>0</xdr:col>
                <xdr:colOff>830580</xdr:colOff>
                <xdr:row>36</xdr:row>
                <xdr:rowOff>106680</xdr:rowOff>
              </from>
              <to>
                <xdr:col>1</xdr:col>
                <xdr:colOff>1386840</xdr:colOff>
                <xdr:row>38</xdr:row>
                <xdr:rowOff>7620</xdr:rowOff>
              </to>
            </anchor>
          </objectPr>
        </oleObject>
      </mc:Choice>
      <mc:Fallback>
        <oleObject shapeId="21512" progId="Equations" r:id="rId13"/>
      </mc:Fallback>
    </mc:AlternateContent>
  </oleObjects>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105"/>
  <sheetViews>
    <sheetView workbookViewId="0">
      <selection activeCell="A53" sqref="A53:D56"/>
    </sheetView>
  </sheetViews>
  <sheetFormatPr defaultColWidth="15.625" defaultRowHeight="20.1" customHeight="1"/>
  <cols>
    <col min="1" max="1" width="15.625" style="82"/>
    <col min="2" max="2" width="25.875" style="82" customWidth="1"/>
    <col min="3" max="3" width="15.625" style="83"/>
    <col min="4" max="4" width="17" style="82" customWidth="1"/>
    <col min="5" max="5" width="7.875" style="82" customWidth="1"/>
    <col min="6" max="18" width="10.625" style="82" customWidth="1"/>
    <col min="19" max="25" width="8.625" style="82" customWidth="1"/>
    <col min="26" max="16384" width="15.625" style="82"/>
  </cols>
  <sheetData>
    <row r="1" ht="21.95" customHeight="1" spans="1:4">
      <c r="A1" s="124" t="s">
        <v>38</v>
      </c>
      <c r="B1" s="125"/>
      <c r="C1" s="125"/>
      <c r="D1" s="125"/>
    </row>
    <row r="2" customHeight="1" spans="1:10">
      <c r="A2" s="9" t="s">
        <v>269</v>
      </c>
      <c r="B2" s="9" t="s">
        <v>270</v>
      </c>
      <c r="C2" s="32" t="s">
        <v>271</v>
      </c>
      <c r="D2" s="9" t="s">
        <v>272</v>
      </c>
      <c r="F2" s="209" t="s">
        <v>1948</v>
      </c>
      <c r="G2" s="209"/>
      <c r="H2" s="209"/>
      <c r="I2" s="209"/>
      <c r="J2" s="209"/>
    </row>
    <row r="3" customHeight="1" spans="1:28">
      <c r="A3" s="279" t="s">
        <v>164</v>
      </c>
      <c r="B3" s="9" t="s">
        <v>1949</v>
      </c>
      <c r="C3" s="91">
        <v>250</v>
      </c>
      <c r="D3" s="9" t="s">
        <v>342</v>
      </c>
      <c r="F3" s="280" t="s">
        <v>1950</v>
      </c>
      <c r="G3" s="281" t="s">
        <v>1951</v>
      </c>
      <c r="H3" s="282" t="s">
        <v>1952</v>
      </c>
      <c r="I3" s="281" t="s">
        <v>1953</v>
      </c>
      <c r="L3" s="106"/>
      <c r="M3" s="106"/>
      <c r="T3" s="115"/>
      <c r="U3" s="115"/>
      <c r="V3" s="115"/>
      <c r="W3" s="115"/>
      <c r="X3" s="115"/>
      <c r="Y3" s="115">
        <v>0</v>
      </c>
      <c r="Z3" s="115"/>
      <c r="AA3" s="115"/>
      <c r="AB3" s="115"/>
    </row>
    <row r="4" customHeight="1" spans="1:28">
      <c r="A4" s="283"/>
      <c r="B4" s="9" t="s">
        <v>1954</v>
      </c>
      <c r="C4" s="91">
        <v>5.5</v>
      </c>
      <c r="D4" s="9" t="s">
        <v>1885</v>
      </c>
      <c r="F4" s="284"/>
      <c r="G4" s="281"/>
      <c r="H4" s="282"/>
      <c r="I4" s="32"/>
      <c r="T4" s="115"/>
      <c r="U4" s="115"/>
      <c r="V4" s="115"/>
      <c r="W4" s="115"/>
      <c r="X4" s="115"/>
      <c r="Y4" s="115">
        <v>2</v>
      </c>
      <c r="Z4" s="115"/>
      <c r="AA4" s="115"/>
      <c r="AB4" s="115"/>
    </row>
    <row r="5" customHeight="1" spans="1:29">
      <c r="A5" s="100" t="s">
        <v>1955</v>
      </c>
      <c r="B5" s="9" t="s">
        <v>1956</v>
      </c>
      <c r="C5" s="91">
        <v>1.3</v>
      </c>
      <c r="D5" s="9" t="s">
        <v>354</v>
      </c>
      <c r="F5" s="285"/>
      <c r="G5" s="91">
        <v>1000</v>
      </c>
      <c r="H5" s="91">
        <v>1256</v>
      </c>
      <c r="I5" s="259">
        <f>(G5/100*60)*(H5/10000)/0.95</f>
        <v>79.3263157894737</v>
      </c>
      <c r="T5" s="115"/>
      <c r="U5" s="115"/>
      <c r="V5" s="115"/>
      <c r="W5" s="1"/>
      <c r="X5" s="1"/>
      <c r="Y5" s="1">
        <v>2</v>
      </c>
      <c r="Z5" s="1"/>
      <c r="AA5" s="1"/>
      <c r="AB5" s="1"/>
      <c r="AC5" s="1"/>
    </row>
    <row r="6" customHeight="1" spans="1:29">
      <c r="A6" s="110"/>
      <c r="B6" s="9" t="s">
        <v>1957</v>
      </c>
      <c r="C6" s="128">
        <f>C5*C3</f>
        <v>325</v>
      </c>
      <c r="D6" s="9" t="s">
        <v>1958</v>
      </c>
      <c r="F6" s="5" t="s">
        <v>1959</v>
      </c>
      <c r="G6" s="281" t="s">
        <v>1960</v>
      </c>
      <c r="H6" s="282" t="s">
        <v>1961</v>
      </c>
      <c r="I6" s="281" t="s">
        <v>1953</v>
      </c>
      <c r="T6" s="115"/>
      <c r="U6" s="115"/>
      <c r="V6" s="1"/>
      <c r="W6" s="114"/>
      <c r="X6" s="114"/>
      <c r="Y6" s="1">
        <v>2</v>
      </c>
      <c r="Z6" s="114"/>
      <c r="AA6" s="114"/>
      <c r="AB6" s="114"/>
      <c r="AC6" s="114"/>
    </row>
    <row r="7" customHeight="1" spans="1:25">
      <c r="A7" s="100" t="s">
        <v>1962</v>
      </c>
      <c r="B7" s="9" t="s">
        <v>1963</v>
      </c>
      <c r="C7" s="128">
        <v>1.2</v>
      </c>
      <c r="D7" s="9" t="s">
        <v>1964</v>
      </c>
      <c r="F7" s="5"/>
      <c r="G7" s="281"/>
      <c r="H7" s="282"/>
      <c r="I7" s="32"/>
      <c r="T7" s="115"/>
      <c r="U7" s="115"/>
      <c r="V7" s="114"/>
      <c r="W7" s="114"/>
      <c r="X7" s="114"/>
      <c r="Y7" s="222">
        <v>0</v>
      </c>
    </row>
    <row r="8" customHeight="1" spans="1:27">
      <c r="A8" s="110"/>
      <c r="B8" s="9" t="s">
        <v>1965</v>
      </c>
      <c r="C8" s="32">
        <f>C7*C4</f>
        <v>6.6</v>
      </c>
      <c r="D8" s="9" t="s">
        <v>1966</v>
      </c>
      <c r="F8" s="5"/>
      <c r="G8" s="91">
        <v>400</v>
      </c>
      <c r="H8" s="91">
        <v>0.404</v>
      </c>
      <c r="I8" s="259">
        <f>G8*H8/0.95</f>
        <v>170.105263157895</v>
      </c>
      <c r="U8" s="1"/>
      <c r="V8" s="114"/>
      <c r="W8" s="114"/>
      <c r="X8" s="114"/>
      <c r="Y8" s="1"/>
      <c r="Z8" s="114"/>
      <c r="AA8" s="114"/>
    </row>
    <row r="9" customHeight="1" spans="1:28">
      <c r="A9" s="100" t="s">
        <v>1967</v>
      </c>
      <c r="B9" s="9" t="s">
        <v>1968</v>
      </c>
      <c r="C9" s="91">
        <v>0.7</v>
      </c>
      <c r="D9" s="25" t="s">
        <v>521</v>
      </c>
      <c r="F9" s="1" t="s">
        <v>1969</v>
      </c>
      <c r="G9" s="1"/>
      <c r="H9" s="1"/>
      <c r="U9" s="114"/>
      <c r="V9" s="114"/>
      <c r="W9" s="114"/>
      <c r="X9" s="114"/>
      <c r="Y9" s="1"/>
      <c r="Z9" s="114"/>
      <c r="AA9" s="114"/>
      <c r="AB9" s="114"/>
    </row>
    <row r="10" customHeight="1" spans="1:25">
      <c r="A10" s="110"/>
      <c r="B10" s="9" t="s">
        <v>1970</v>
      </c>
      <c r="C10" s="128">
        <f>C8*10^6*C6/10^3/60/C9/1000</f>
        <v>51.0714285714286</v>
      </c>
      <c r="D10" s="213" t="s">
        <v>1971</v>
      </c>
      <c r="F10" s="1"/>
      <c r="G10" s="1"/>
      <c r="H10" s="1"/>
      <c r="U10" s="114"/>
      <c r="V10" s="114"/>
      <c r="W10" s="114"/>
      <c r="X10" s="114"/>
      <c r="Y10" s="114"/>
    </row>
    <row r="11" customHeight="1" spans="1:25">
      <c r="A11" s="286"/>
      <c r="B11" s="287"/>
      <c r="C11" s="288"/>
      <c r="D11" s="288"/>
      <c r="E11" s="1"/>
      <c r="F11" s="1" t="s">
        <v>1972</v>
      </c>
      <c r="G11" s="1"/>
      <c r="H11" s="1"/>
      <c r="U11" s="114"/>
      <c r="V11" s="114"/>
      <c r="W11" s="114"/>
      <c r="X11" s="114"/>
      <c r="Y11" s="114"/>
    </row>
    <row r="12" customHeight="1" spans="1:26">
      <c r="A12" s="289" t="s">
        <v>1973</v>
      </c>
      <c r="B12" s="289"/>
      <c r="C12" s="289"/>
      <c r="D12" s="289"/>
      <c r="F12" s="280" t="s">
        <v>1974</v>
      </c>
      <c r="G12" s="281" t="s">
        <v>1975</v>
      </c>
      <c r="H12" s="282" t="s">
        <v>1952</v>
      </c>
      <c r="I12" s="281" t="s">
        <v>1976</v>
      </c>
      <c r="J12" s="281" t="s">
        <v>1977</v>
      </c>
      <c r="V12" s="114"/>
      <c r="W12" s="114"/>
      <c r="X12" s="114"/>
      <c r="Y12" s="114"/>
      <c r="Z12" s="114"/>
    </row>
    <row r="13" customHeight="1" spans="1:26">
      <c r="A13" s="290"/>
      <c r="B13" s="290"/>
      <c r="C13" s="290"/>
      <c r="D13" s="290"/>
      <c r="F13" s="284"/>
      <c r="G13" s="281"/>
      <c r="H13" s="282"/>
      <c r="I13" s="32"/>
      <c r="J13" s="32"/>
      <c r="K13" s="82" t="s">
        <v>1978</v>
      </c>
      <c r="T13" s="114"/>
      <c r="U13" s="114"/>
      <c r="V13" s="114"/>
      <c r="W13" s="114"/>
      <c r="X13" s="114"/>
      <c r="Y13" s="114"/>
      <c r="Z13" s="114"/>
    </row>
    <row r="14" customHeight="1" spans="1:26">
      <c r="A14" s="290"/>
      <c r="B14" s="290"/>
      <c r="C14" s="290"/>
      <c r="D14" s="290"/>
      <c r="F14" s="285"/>
      <c r="G14" s="91">
        <v>1000</v>
      </c>
      <c r="H14" s="91">
        <v>1256</v>
      </c>
      <c r="I14" s="91">
        <v>0.98</v>
      </c>
      <c r="J14" s="259">
        <f>G14/H14/I14</f>
        <v>0.812426881580658</v>
      </c>
      <c r="T14" s="114"/>
      <c r="U14" s="114"/>
      <c r="W14" s="114"/>
      <c r="X14" s="114"/>
      <c r="Y14" s="114"/>
      <c r="Z14" s="114"/>
    </row>
    <row r="15" customHeight="1" spans="1:25">
      <c r="A15" s="290"/>
      <c r="B15" s="290"/>
      <c r="C15" s="290"/>
      <c r="D15" s="290"/>
      <c r="F15" s="5" t="s">
        <v>1979</v>
      </c>
      <c r="G15" s="281" t="s">
        <v>1980</v>
      </c>
      <c r="H15" s="282" t="s">
        <v>1961</v>
      </c>
      <c r="I15" s="281" t="s">
        <v>1976</v>
      </c>
      <c r="J15" s="302" t="s">
        <v>1981</v>
      </c>
      <c r="R15" s="114"/>
      <c r="S15" s="114"/>
      <c r="W15" s="114"/>
      <c r="X15" s="114"/>
      <c r="Y15" s="114"/>
    </row>
    <row r="16" customHeight="1" spans="1:26">
      <c r="A16" s="290"/>
      <c r="B16" s="290"/>
      <c r="C16" s="290"/>
      <c r="D16" s="290"/>
      <c r="F16" s="5"/>
      <c r="G16" s="281"/>
      <c r="H16" s="282"/>
      <c r="I16" s="32"/>
      <c r="J16" s="32"/>
      <c r="K16" s="82" t="s">
        <v>1982</v>
      </c>
      <c r="W16" s="114"/>
      <c r="X16" s="114"/>
      <c r="Z16" s="114"/>
    </row>
    <row r="17" customHeight="1" spans="1:26">
      <c r="A17" s="290"/>
      <c r="B17" s="290"/>
      <c r="C17" s="290"/>
      <c r="D17" s="290"/>
      <c r="F17" s="5"/>
      <c r="G17" s="91">
        <v>4</v>
      </c>
      <c r="H17" s="91">
        <v>0.404</v>
      </c>
      <c r="I17" s="91">
        <v>0.9</v>
      </c>
      <c r="J17" s="259">
        <f>2*PI()*G17/(H17/60000)/10^6/I17+0.2</f>
        <v>4.34731703444197</v>
      </c>
      <c r="K17" s="82" t="s">
        <v>1983</v>
      </c>
      <c r="P17" s="1"/>
      <c r="W17" s="114"/>
      <c r="X17" s="114"/>
      <c r="Y17" s="114"/>
      <c r="Z17" s="114"/>
    </row>
    <row r="18" customHeight="1" spans="1:25">
      <c r="A18" s="290"/>
      <c r="B18" s="290"/>
      <c r="C18" s="290"/>
      <c r="D18" s="290"/>
      <c r="F18" s="1" t="s">
        <v>1984</v>
      </c>
      <c r="G18" s="1"/>
      <c r="H18" s="1"/>
      <c r="O18" s="1"/>
      <c r="V18" s="114"/>
      <c r="W18" s="114"/>
      <c r="X18" s="114"/>
      <c r="Y18" s="114"/>
    </row>
    <row r="19" customHeight="1" spans="1:24">
      <c r="A19" s="290"/>
      <c r="B19" s="290"/>
      <c r="C19" s="290"/>
      <c r="D19" s="290"/>
      <c r="F19" s="1"/>
      <c r="G19" s="1"/>
      <c r="H19" s="1"/>
      <c r="V19" s="114"/>
      <c r="W19" s="114"/>
      <c r="X19" s="114"/>
    </row>
    <row r="20" customHeight="1" spans="1:23">
      <c r="A20" s="290"/>
      <c r="B20" s="290"/>
      <c r="C20" s="290"/>
      <c r="D20" s="290"/>
      <c r="F20" s="1" t="s">
        <v>1985</v>
      </c>
      <c r="G20" s="1"/>
      <c r="H20" s="1"/>
      <c r="V20" s="114"/>
      <c r="W20" s="114"/>
    </row>
    <row r="21" customHeight="1" spans="1:23">
      <c r="A21" s="290"/>
      <c r="B21" s="290"/>
      <c r="C21" s="290"/>
      <c r="D21" s="290"/>
      <c r="F21" s="92" t="s">
        <v>1986</v>
      </c>
      <c r="G21" s="92" t="s">
        <v>1987</v>
      </c>
      <c r="H21" s="92" t="s">
        <v>1988</v>
      </c>
      <c r="V21" s="114"/>
      <c r="W21" s="114"/>
    </row>
    <row r="22" customHeight="1" spans="1:25">
      <c r="A22" s="290"/>
      <c r="B22" s="290"/>
      <c r="C22" s="290"/>
      <c r="D22" s="290"/>
      <c r="F22" s="9" t="s">
        <v>1989</v>
      </c>
      <c r="G22" s="9" t="s">
        <v>1990</v>
      </c>
      <c r="H22" s="9" t="s">
        <v>1991</v>
      </c>
      <c r="V22" s="114"/>
      <c r="W22" s="114"/>
      <c r="Y22" s="1"/>
    </row>
    <row r="23" customHeight="1" spans="1:26">
      <c r="A23" s="290"/>
      <c r="B23" s="290"/>
      <c r="C23" s="290"/>
      <c r="D23" s="290"/>
      <c r="F23" s="291"/>
      <c r="G23" s="1"/>
      <c r="H23" s="1"/>
      <c r="N23" s="106"/>
      <c r="V23" s="114"/>
      <c r="W23" s="114"/>
      <c r="X23" s="1"/>
      <c r="Z23" s="1"/>
    </row>
    <row r="24" customHeight="1" spans="1:26">
      <c r="A24" s="1" t="s">
        <v>1992</v>
      </c>
      <c r="B24" s="292"/>
      <c r="C24" s="292"/>
      <c r="D24" s="292"/>
      <c r="F24" s="1"/>
      <c r="G24" s="1"/>
      <c r="H24" s="1"/>
      <c r="Q24" s="1"/>
      <c r="R24" s="1"/>
      <c r="V24" s="114"/>
      <c r="Z24" s="1"/>
    </row>
    <row r="25" customHeight="1" spans="1:26">
      <c r="A25" s="293" t="s">
        <v>1993</v>
      </c>
      <c r="B25" s="293" t="s">
        <v>965</v>
      </c>
      <c r="C25" s="293" t="s">
        <v>1994</v>
      </c>
      <c r="D25" s="293"/>
      <c r="F25" s="1"/>
      <c r="G25" s="1"/>
      <c r="H25" s="1"/>
      <c r="Z25" s="1"/>
    </row>
    <row r="26" customHeight="1" spans="1:26">
      <c r="A26" s="5" t="s">
        <v>1986</v>
      </c>
      <c r="B26" s="294" t="s">
        <v>1995</v>
      </c>
      <c r="C26" s="295"/>
      <c r="D26" s="295"/>
      <c r="F26" s="1"/>
      <c r="G26" s="1"/>
      <c r="H26" s="1"/>
      <c r="U26" s="1"/>
      <c r="Z26" s="1"/>
    </row>
    <row r="27" customHeight="1" spans="1:26">
      <c r="A27" s="5"/>
      <c r="B27" s="294"/>
      <c r="C27" s="295"/>
      <c r="D27" s="295"/>
      <c r="F27" s="1"/>
      <c r="G27" s="1"/>
      <c r="H27" s="1"/>
      <c r="S27" s="1"/>
      <c r="T27" s="1"/>
      <c r="Z27" s="1"/>
    </row>
    <row r="28" customHeight="1" spans="1:26">
      <c r="A28" s="5"/>
      <c r="B28" s="294"/>
      <c r="C28" s="295"/>
      <c r="D28" s="295"/>
      <c r="F28" s="1"/>
      <c r="G28" s="1"/>
      <c r="H28" s="1"/>
      <c r="P28" s="1"/>
      <c r="Z28" s="1"/>
    </row>
    <row r="29" customHeight="1" spans="1:26">
      <c r="A29" s="5"/>
      <c r="B29" s="294"/>
      <c r="C29" s="295"/>
      <c r="D29" s="295"/>
      <c r="F29" s="1"/>
      <c r="G29" s="1"/>
      <c r="H29" s="1"/>
      <c r="Z29" s="1"/>
    </row>
    <row r="30" customHeight="1" spans="1:26">
      <c r="A30" s="5"/>
      <c r="B30" s="294"/>
      <c r="C30" s="295"/>
      <c r="D30" s="295"/>
      <c r="F30" s="1"/>
      <c r="G30" s="1"/>
      <c r="H30" s="1"/>
      <c r="Z30" s="1"/>
    </row>
    <row r="31" customHeight="1" spans="1:26">
      <c r="A31" s="5" t="s">
        <v>1987</v>
      </c>
      <c r="B31" s="294" t="s">
        <v>1996</v>
      </c>
      <c r="C31" s="295"/>
      <c r="D31" s="295"/>
      <c r="F31" s="1"/>
      <c r="G31" s="1"/>
      <c r="H31" s="1"/>
      <c r="Z31" s="1"/>
    </row>
    <row r="32" customHeight="1" spans="1:27">
      <c r="A32" s="5"/>
      <c r="B32" s="294"/>
      <c r="C32" s="295"/>
      <c r="D32" s="295"/>
      <c r="F32" s="1"/>
      <c r="G32" s="1"/>
      <c r="H32" s="1"/>
      <c r="AA32" s="1"/>
    </row>
    <row r="33" customHeight="1" spans="1:27">
      <c r="A33" s="5"/>
      <c r="B33" s="294"/>
      <c r="C33" s="295"/>
      <c r="D33" s="295"/>
      <c r="F33" s="1"/>
      <c r="G33" s="1"/>
      <c r="H33" s="1"/>
      <c r="AA33" s="1"/>
    </row>
    <row r="34" customHeight="1" spans="1:27">
      <c r="A34" s="5"/>
      <c r="B34" s="294"/>
      <c r="C34" s="295"/>
      <c r="D34" s="295"/>
      <c r="F34" s="1"/>
      <c r="G34" s="1"/>
      <c r="H34" s="1"/>
      <c r="AA34" s="1"/>
    </row>
    <row r="35" customHeight="1" spans="1:27">
      <c r="A35" s="5" t="s">
        <v>1988</v>
      </c>
      <c r="B35" s="294" t="s">
        <v>1997</v>
      </c>
      <c r="C35" s="295"/>
      <c r="D35" s="295"/>
      <c r="G35" s="1"/>
      <c r="H35" s="1"/>
      <c r="AA35" s="1"/>
    </row>
    <row r="36" customHeight="1" spans="1:27">
      <c r="A36" s="5"/>
      <c r="B36" s="294"/>
      <c r="C36" s="295"/>
      <c r="D36" s="295"/>
      <c r="F36" s="1"/>
      <c r="G36" s="1"/>
      <c r="H36" s="1"/>
      <c r="M36" s="303"/>
      <c r="AA36" s="1"/>
    </row>
    <row r="37" customHeight="1" spans="1:27">
      <c r="A37" s="5"/>
      <c r="B37" s="294"/>
      <c r="C37" s="295"/>
      <c r="D37" s="295"/>
      <c r="F37" s="1"/>
      <c r="G37" s="1"/>
      <c r="H37" s="1"/>
      <c r="M37" s="303"/>
      <c r="N37" s="106"/>
      <c r="AA37" s="1"/>
    </row>
    <row r="38" customHeight="1" spans="1:27">
      <c r="A38" s="5"/>
      <c r="B38" s="294"/>
      <c r="C38" s="295"/>
      <c r="D38" s="295"/>
      <c r="F38" s="1"/>
      <c r="G38" s="1"/>
      <c r="H38" s="1"/>
      <c r="M38" s="300"/>
      <c r="AA38" s="1"/>
    </row>
    <row r="39" customHeight="1" spans="1:27">
      <c r="A39" s="5" t="s">
        <v>1998</v>
      </c>
      <c r="B39" s="296" t="s">
        <v>1999</v>
      </c>
      <c r="C39" s="295"/>
      <c r="D39" s="295"/>
      <c r="F39" s="1"/>
      <c r="G39" s="1"/>
      <c r="H39" s="1"/>
      <c r="M39" s="1"/>
      <c r="AA39" s="1"/>
    </row>
    <row r="40" customHeight="1" spans="1:27">
      <c r="A40" s="5"/>
      <c r="B40" s="296"/>
      <c r="C40" s="295"/>
      <c r="D40" s="295"/>
      <c r="F40" s="1"/>
      <c r="G40" s="1"/>
      <c r="H40" s="1"/>
      <c r="J40" s="300"/>
      <c r="M40" s="1"/>
      <c r="AA40" s="1"/>
    </row>
    <row r="41" customHeight="1" spans="1:27">
      <c r="A41" s="5"/>
      <c r="B41" s="296"/>
      <c r="C41" s="295"/>
      <c r="D41" s="295"/>
      <c r="F41" s="1"/>
      <c r="G41" s="1"/>
      <c r="H41" s="1"/>
      <c r="J41" s="300"/>
      <c r="K41" s="303"/>
      <c r="L41" s="303"/>
      <c r="M41" s="1"/>
      <c r="AA41" s="1"/>
    </row>
    <row r="42" customHeight="1" spans="1:27">
      <c r="A42" s="5"/>
      <c r="B42" s="296"/>
      <c r="C42" s="295"/>
      <c r="D42" s="295"/>
      <c r="F42" s="1"/>
      <c r="G42" s="1"/>
      <c r="H42" s="1"/>
      <c r="J42" s="300"/>
      <c r="K42" s="303"/>
      <c r="L42" s="303"/>
      <c r="M42" s="1"/>
      <c r="AA42" s="1"/>
    </row>
    <row r="43" customHeight="1" spans="1:27">
      <c r="A43" s="5"/>
      <c r="B43" s="296"/>
      <c r="C43" s="295"/>
      <c r="D43" s="295"/>
      <c r="F43" s="1"/>
      <c r="G43" s="1"/>
      <c r="H43" s="1"/>
      <c r="J43" s="300"/>
      <c r="K43" s="300"/>
      <c r="L43" s="300"/>
      <c r="M43" s="1"/>
      <c r="AA43" s="1"/>
    </row>
    <row r="44" customHeight="1" spans="1:27">
      <c r="A44" s="1" t="s">
        <v>2000</v>
      </c>
      <c r="B44" s="297"/>
      <c r="C44" s="298"/>
      <c r="D44" s="298"/>
      <c r="F44" s="1"/>
      <c r="G44" s="1"/>
      <c r="H44" s="1"/>
      <c r="J44" s="1"/>
      <c r="K44" s="1"/>
      <c r="L44" s="1"/>
      <c r="M44" s="1"/>
      <c r="AA44" s="1"/>
    </row>
    <row r="45" customHeight="1" spans="1:27">
      <c r="A45" s="299"/>
      <c r="B45" s="297"/>
      <c r="C45" s="298"/>
      <c r="D45" s="298"/>
      <c r="F45" s="146"/>
      <c r="G45" s="1"/>
      <c r="H45" s="1"/>
      <c r="J45" s="1"/>
      <c r="K45" s="1"/>
      <c r="L45" s="1"/>
      <c r="M45" s="1"/>
      <c r="AA45" s="1"/>
    </row>
    <row r="46" customHeight="1" spans="1:27">
      <c r="A46" s="299"/>
      <c r="B46" s="297"/>
      <c r="C46" s="298"/>
      <c r="D46" s="298"/>
      <c r="F46" s="222"/>
      <c r="G46" s="1"/>
      <c r="H46" s="300"/>
      <c r="I46" s="300"/>
      <c r="J46" s="1"/>
      <c r="K46" s="1"/>
      <c r="L46" s="1"/>
      <c r="M46" s="1"/>
      <c r="AA46" s="1"/>
    </row>
    <row r="47" customHeight="1" spans="1:27">
      <c r="A47" s="299"/>
      <c r="B47" s="297"/>
      <c r="C47" s="298"/>
      <c r="D47" s="298"/>
      <c r="F47" s="222"/>
      <c r="G47" s="1"/>
      <c r="H47" s="300"/>
      <c r="I47" s="300"/>
      <c r="J47" s="1"/>
      <c r="K47" s="1"/>
      <c r="L47" s="1"/>
      <c r="M47" s="1"/>
      <c r="AA47" s="1"/>
    </row>
    <row r="48" customHeight="1" spans="1:27">
      <c r="A48" s="299"/>
      <c r="B48" s="297"/>
      <c r="C48" s="298"/>
      <c r="D48" s="298"/>
      <c r="F48" s="222"/>
      <c r="G48" s="1"/>
      <c r="H48" s="300"/>
      <c r="I48" s="300"/>
      <c r="J48" s="1"/>
      <c r="K48" s="1"/>
      <c r="L48" s="1"/>
      <c r="M48" s="1"/>
      <c r="N48" s="1"/>
      <c r="O48" s="1"/>
      <c r="AA48" s="1"/>
    </row>
    <row r="49" customHeight="1" spans="1:27">
      <c r="A49" s="299"/>
      <c r="B49" s="297"/>
      <c r="C49" s="298"/>
      <c r="D49" s="298"/>
      <c r="F49" s="222"/>
      <c r="G49" s="1"/>
      <c r="H49" s="300"/>
      <c r="I49" s="300"/>
      <c r="J49" s="1"/>
      <c r="K49" s="1"/>
      <c r="L49" s="1"/>
      <c r="M49" s="1"/>
      <c r="N49" s="1"/>
      <c r="O49" s="1"/>
      <c r="AA49" s="1"/>
    </row>
    <row r="50" customHeight="1" spans="1:26">
      <c r="A50" s="299"/>
      <c r="B50" s="297"/>
      <c r="C50" s="298"/>
      <c r="D50" s="298"/>
      <c r="F50" s="1"/>
      <c r="G50" s="1"/>
      <c r="H50" s="1"/>
      <c r="I50" s="1"/>
      <c r="J50" s="1"/>
      <c r="K50" s="1"/>
      <c r="L50" s="1"/>
      <c r="M50" s="1"/>
      <c r="N50" s="1"/>
      <c r="O50" s="1"/>
      <c r="Z50" s="1"/>
    </row>
    <row r="51" customHeight="1" spans="1:26">
      <c r="A51" s="299"/>
      <c r="B51" s="297"/>
      <c r="C51" s="298"/>
      <c r="D51" s="298"/>
      <c r="F51" s="1"/>
      <c r="G51" s="1"/>
      <c r="H51" s="1"/>
      <c r="I51" s="1"/>
      <c r="J51" s="1"/>
      <c r="K51" s="1"/>
      <c r="L51" s="1"/>
      <c r="M51" s="1"/>
      <c r="N51" s="1"/>
      <c r="O51" s="1"/>
      <c r="Z51" s="1"/>
    </row>
    <row r="52" customHeight="1" spans="1:26">
      <c r="A52" s="299"/>
      <c r="B52" s="297"/>
      <c r="C52" s="298"/>
      <c r="D52" s="298"/>
      <c r="F52" s="1"/>
      <c r="G52" s="1"/>
      <c r="H52" s="1"/>
      <c r="I52" s="1"/>
      <c r="J52" s="1"/>
      <c r="K52" s="1"/>
      <c r="L52" s="1"/>
      <c r="M52" s="1"/>
      <c r="N52" s="1"/>
      <c r="O52" s="1"/>
      <c r="Z52" s="1"/>
    </row>
    <row r="53" customHeight="1" spans="1:26">
      <c r="A53" s="301" t="s">
        <v>2001</v>
      </c>
      <c r="B53" s="301"/>
      <c r="C53" s="301"/>
      <c r="D53" s="301"/>
      <c r="G53" s="1"/>
      <c r="H53" s="1"/>
      <c r="I53" s="1"/>
      <c r="J53" s="1"/>
      <c r="K53" s="1"/>
      <c r="L53" s="1"/>
      <c r="M53" s="1"/>
      <c r="Z53" s="1"/>
    </row>
    <row r="54" customHeight="1" spans="1:30">
      <c r="A54" s="301"/>
      <c r="B54" s="301"/>
      <c r="C54" s="301"/>
      <c r="D54" s="301"/>
      <c r="G54" s="1"/>
      <c r="H54" s="1"/>
      <c r="I54" s="1"/>
      <c r="J54" s="1"/>
      <c r="K54" s="1"/>
      <c r="L54" s="1"/>
      <c r="M54" s="1"/>
      <c r="Q54" s="1"/>
      <c r="AD54" s="1"/>
    </row>
    <row r="55" customHeight="1" spans="1:30">
      <c r="A55" s="301"/>
      <c r="B55" s="301"/>
      <c r="C55" s="301"/>
      <c r="D55" s="301"/>
      <c r="G55" s="1"/>
      <c r="H55" s="1"/>
      <c r="I55" s="1"/>
      <c r="J55" s="1"/>
      <c r="K55" s="1"/>
      <c r="L55" s="1"/>
      <c r="M55" s="1"/>
      <c r="Q55" s="1"/>
      <c r="R55" s="1"/>
      <c r="AD55" s="1"/>
    </row>
    <row r="56" customHeight="1" spans="1:30">
      <c r="A56" s="301"/>
      <c r="B56" s="301"/>
      <c r="C56" s="301"/>
      <c r="D56" s="301"/>
      <c r="F56" s="1"/>
      <c r="G56" s="83"/>
      <c r="J56" s="1"/>
      <c r="K56" s="1"/>
      <c r="L56" s="1"/>
      <c r="M56" s="1"/>
      <c r="Q56" s="1"/>
      <c r="AD56" s="1"/>
    </row>
    <row r="57" customHeight="1" spans="1:30">
      <c r="A57" s="137"/>
      <c r="B57" s="137"/>
      <c r="C57" s="137"/>
      <c r="D57" s="137"/>
      <c r="F57" s="1"/>
      <c r="G57" s="83"/>
      <c r="J57" s="1"/>
      <c r="K57" s="1"/>
      <c r="L57" s="1"/>
      <c r="M57" s="1"/>
      <c r="Q57" s="1"/>
      <c r="AD57" s="1"/>
    </row>
    <row r="58" customHeight="1" spans="1:31">
      <c r="A58" s="135"/>
      <c r="B58" s="135"/>
      <c r="C58" s="135"/>
      <c r="D58" s="135"/>
      <c r="F58" s="1"/>
      <c r="G58" s="83"/>
      <c r="J58" s="1"/>
      <c r="K58" s="1"/>
      <c r="L58" s="1"/>
      <c r="M58" s="1"/>
      <c r="P58" s="1"/>
      <c r="Q58" s="1"/>
      <c r="AE58" s="1"/>
    </row>
    <row r="59" customHeight="1" spans="1:27">
      <c r="A59" s="135"/>
      <c r="B59" s="135"/>
      <c r="C59" s="135"/>
      <c r="D59" s="135"/>
      <c r="F59" s="1"/>
      <c r="G59" s="1"/>
      <c r="H59" s="1"/>
      <c r="I59" s="1"/>
      <c r="J59" s="1"/>
      <c r="K59" s="1"/>
      <c r="L59" s="1"/>
      <c r="M59" s="1"/>
      <c r="P59" s="1"/>
      <c r="AA59" s="1"/>
    </row>
    <row r="60" customHeight="1" spans="1:27">
      <c r="A60" s="135"/>
      <c r="F60" s="1"/>
      <c r="G60" s="1"/>
      <c r="H60" s="1"/>
      <c r="I60" s="1"/>
      <c r="J60" s="1"/>
      <c r="K60" s="1"/>
      <c r="L60" s="1"/>
      <c r="M60" s="1"/>
      <c r="P60" s="1"/>
      <c r="S60" s="1"/>
      <c r="AA60" s="1"/>
    </row>
    <row r="61" customHeight="1" spans="6:27">
      <c r="F61" s="1"/>
      <c r="G61" s="1"/>
      <c r="H61" s="1"/>
      <c r="I61" s="1"/>
      <c r="J61" s="1"/>
      <c r="K61" s="1"/>
      <c r="L61" s="1"/>
      <c r="M61" s="1"/>
      <c r="P61" s="1"/>
      <c r="AA61" s="1"/>
    </row>
    <row r="62" customHeight="1" spans="6:27">
      <c r="F62" s="1"/>
      <c r="G62" s="1"/>
      <c r="H62" s="1"/>
      <c r="I62" s="1"/>
      <c r="J62" s="1"/>
      <c r="K62" s="1"/>
      <c r="L62" s="1"/>
      <c r="M62" s="1"/>
      <c r="P62" s="1"/>
      <c r="AA62" s="1"/>
    </row>
    <row r="63" customHeight="1" spans="6:27">
      <c r="F63" s="1"/>
      <c r="G63" s="1"/>
      <c r="H63" s="1"/>
      <c r="I63" s="1"/>
      <c r="J63" s="1"/>
      <c r="K63" s="1"/>
      <c r="L63" s="1"/>
      <c r="M63" s="1"/>
      <c r="AA63" s="1"/>
    </row>
    <row r="64" customHeight="1" spans="6:27">
      <c r="F64" s="1"/>
      <c r="G64" s="1"/>
      <c r="H64" s="1"/>
      <c r="I64" s="1"/>
      <c r="J64" s="1"/>
      <c r="K64" s="1"/>
      <c r="L64" s="1"/>
      <c r="M64" s="1"/>
      <c r="AA64" s="1"/>
    </row>
    <row r="65" customHeight="1" spans="6:27">
      <c r="F65" s="1"/>
      <c r="G65" s="1"/>
      <c r="H65" s="1"/>
      <c r="I65" s="1"/>
      <c r="J65" s="1"/>
      <c r="K65" s="1"/>
      <c r="L65" s="1"/>
      <c r="M65" s="1"/>
      <c r="AA65" s="1"/>
    </row>
    <row r="66" customHeight="1" spans="6:27">
      <c r="F66" s="1"/>
      <c r="G66" s="1"/>
      <c r="H66" s="1"/>
      <c r="I66" s="1"/>
      <c r="J66" s="1"/>
      <c r="K66" s="1"/>
      <c r="L66" s="1"/>
      <c r="M66" s="1"/>
      <c r="AA66" s="1"/>
    </row>
    <row r="67" customHeight="1" spans="6:27">
      <c r="F67" s="1"/>
      <c r="G67" s="1"/>
      <c r="H67" s="1"/>
      <c r="I67" s="1"/>
      <c r="J67" s="1"/>
      <c r="K67" s="1"/>
      <c r="L67" s="1"/>
      <c r="M67" s="1"/>
      <c r="AA67" s="1"/>
    </row>
    <row r="68" customHeight="1" spans="6:27">
      <c r="F68" s="1"/>
      <c r="G68" s="1"/>
      <c r="H68" s="1"/>
      <c r="I68" s="1"/>
      <c r="J68" s="1"/>
      <c r="K68" s="1"/>
      <c r="L68" s="1"/>
      <c r="M68" s="1"/>
      <c r="AA68" s="1"/>
    </row>
    <row r="69" customHeight="1" spans="6:27">
      <c r="F69" s="1"/>
      <c r="G69" s="1"/>
      <c r="H69" s="1"/>
      <c r="I69" s="1"/>
      <c r="J69" s="1"/>
      <c r="K69" s="1"/>
      <c r="L69" s="1"/>
      <c r="M69" s="1"/>
      <c r="AA69" s="1"/>
    </row>
    <row r="70" customHeight="1" spans="6:27">
      <c r="F70" s="1"/>
      <c r="G70" s="1"/>
      <c r="H70" s="1"/>
      <c r="I70" s="1"/>
      <c r="J70" s="1"/>
      <c r="K70" s="1"/>
      <c r="L70" s="1"/>
      <c r="M70" s="1"/>
      <c r="AA70" s="1"/>
    </row>
    <row r="71" customHeight="1" spans="6:27">
      <c r="F71" s="1"/>
      <c r="G71" s="1"/>
      <c r="H71" s="1"/>
      <c r="I71" s="1"/>
      <c r="J71" s="1"/>
      <c r="K71" s="1"/>
      <c r="L71" s="1"/>
      <c r="M71" s="1"/>
      <c r="AA71" s="1"/>
    </row>
    <row r="72" customHeight="1" spans="6:27">
      <c r="F72" s="1"/>
      <c r="G72" s="1"/>
      <c r="H72" s="1"/>
      <c r="I72" s="1"/>
      <c r="J72" s="1"/>
      <c r="K72" s="1"/>
      <c r="L72" s="1"/>
      <c r="M72" s="1"/>
      <c r="AA72" s="1"/>
    </row>
    <row r="73" customHeight="1" spans="6:27">
      <c r="F73" s="1"/>
      <c r="G73" s="1"/>
      <c r="H73" s="1"/>
      <c r="I73" s="1"/>
      <c r="J73" s="1"/>
      <c r="K73" s="1"/>
      <c r="L73" s="1"/>
      <c r="M73" s="1"/>
      <c r="AA73" s="1"/>
    </row>
    <row r="74" customHeight="1" spans="6:27">
      <c r="F74" s="1"/>
      <c r="G74" s="1"/>
      <c r="H74" s="1"/>
      <c r="I74" s="1"/>
      <c r="J74" s="1"/>
      <c r="K74" s="1"/>
      <c r="L74" s="1"/>
      <c r="M74" s="1"/>
      <c r="AA74" s="1"/>
    </row>
    <row r="75" customHeight="1" spans="6:27">
      <c r="F75" s="1"/>
      <c r="G75" s="1"/>
      <c r="H75" s="1"/>
      <c r="I75" s="1"/>
      <c r="J75" s="1"/>
      <c r="K75" s="1"/>
      <c r="L75" s="1"/>
      <c r="M75" s="1"/>
      <c r="AA75" s="1"/>
    </row>
    <row r="76" customHeight="1" spans="6:27">
      <c r="F76" s="1"/>
      <c r="G76" s="1"/>
      <c r="H76" s="1"/>
      <c r="I76" s="1"/>
      <c r="J76" s="1"/>
      <c r="K76" s="1"/>
      <c r="L76" s="1"/>
      <c r="M76" s="1"/>
      <c r="N76" s="209"/>
      <c r="AA76" s="1"/>
    </row>
    <row r="77" customHeight="1" spans="6:27">
      <c r="F77" s="1"/>
      <c r="G77" s="1"/>
      <c r="H77" s="1"/>
      <c r="I77" s="1"/>
      <c r="J77" s="1"/>
      <c r="K77" s="1"/>
      <c r="L77" s="1"/>
      <c r="M77" s="1"/>
      <c r="N77" s="209"/>
      <c r="AA77" s="1"/>
    </row>
    <row r="78" customHeight="1" spans="6:27">
      <c r="F78" s="1"/>
      <c r="G78" s="1"/>
      <c r="H78" s="1"/>
      <c r="I78" s="1"/>
      <c r="J78" s="1"/>
      <c r="K78" s="1"/>
      <c r="L78" s="1"/>
      <c r="M78" s="1"/>
      <c r="N78" s="209"/>
      <c r="AA78" s="1"/>
    </row>
    <row r="79" customHeight="1" spans="6:27">
      <c r="F79" s="1"/>
      <c r="G79" s="1"/>
      <c r="H79" s="1"/>
      <c r="I79" s="1"/>
      <c r="J79" s="1"/>
      <c r="K79" s="1"/>
      <c r="L79" s="1"/>
      <c r="M79" s="1"/>
      <c r="N79" s="209"/>
      <c r="AA79" s="1"/>
    </row>
    <row r="80" customHeight="1" spans="6:27">
      <c r="F80" s="1"/>
      <c r="G80" s="1"/>
      <c r="H80" s="1"/>
      <c r="I80" s="1"/>
      <c r="J80" s="1"/>
      <c r="K80" s="1"/>
      <c r="L80" s="1"/>
      <c r="M80" s="1"/>
      <c r="N80" s="209"/>
      <c r="AA80" s="1"/>
    </row>
    <row r="81" customHeight="1" spans="6:27">
      <c r="F81" s="1"/>
      <c r="G81" s="1"/>
      <c r="H81" s="1"/>
      <c r="I81" s="1"/>
      <c r="J81" s="1"/>
      <c r="K81" s="1"/>
      <c r="L81" s="1"/>
      <c r="M81" s="1"/>
      <c r="N81" s="209"/>
      <c r="AA81" s="1"/>
    </row>
    <row r="82" customHeight="1" spans="6:27">
      <c r="F82" s="1"/>
      <c r="G82" s="1"/>
      <c r="H82" s="1"/>
      <c r="I82" s="1"/>
      <c r="J82" s="1"/>
      <c r="K82" s="1"/>
      <c r="L82" s="1"/>
      <c r="M82" s="1"/>
      <c r="AA82" s="1"/>
    </row>
    <row r="83" customHeight="1" spans="6:27">
      <c r="F83" s="1"/>
      <c r="G83" s="1"/>
      <c r="H83" s="1"/>
      <c r="I83" s="1"/>
      <c r="J83" s="1"/>
      <c r="K83" s="1"/>
      <c r="L83" s="1"/>
      <c r="M83" s="1"/>
      <c r="AA83" s="1"/>
    </row>
    <row r="84" customHeight="1" spans="6:27">
      <c r="F84" s="1"/>
      <c r="G84" s="1"/>
      <c r="H84" s="1"/>
      <c r="I84" s="1"/>
      <c r="J84" s="1"/>
      <c r="K84" s="1"/>
      <c r="L84" s="1"/>
      <c r="M84" s="1"/>
      <c r="AA84" s="1"/>
    </row>
    <row r="85" customHeight="1" spans="6:27">
      <c r="F85" s="1"/>
      <c r="G85" s="1"/>
      <c r="H85" s="1"/>
      <c r="I85" s="1"/>
      <c r="J85" s="1"/>
      <c r="K85" s="1"/>
      <c r="L85" s="1"/>
      <c r="M85" s="1"/>
      <c r="AA85" s="1"/>
    </row>
    <row r="86" customHeight="1" spans="6:27">
      <c r="F86" s="1"/>
      <c r="G86" s="1"/>
      <c r="H86" s="1"/>
      <c r="I86" s="1"/>
      <c r="J86" s="1"/>
      <c r="K86" s="1"/>
      <c r="L86" s="1"/>
      <c r="M86" s="1"/>
      <c r="AA86" s="1"/>
    </row>
    <row r="87" customHeight="1" spans="6:27">
      <c r="F87" s="1"/>
      <c r="G87" s="1"/>
      <c r="H87" s="1"/>
      <c r="I87" s="1"/>
      <c r="J87" s="1"/>
      <c r="K87" s="1"/>
      <c r="L87" s="1"/>
      <c r="M87" s="1"/>
      <c r="AA87" s="1"/>
    </row>
    <row r="88" customHeight="1" spans="6:27">
      <c r="F88" s="1"/>
      <c r="G88" s="1"/>
      <c r="H88" s="1"/>
      <c r="I88" s="1"/>
      <c r="J88" s="1"/>
      <c r="K88" s="1"/>
      <c r="L88" s="1"/>
      <c r="M88" s="1"/>
      <c r="AA88" s="1"/>
    </row>
    <row r="89" customHeight="1" spans="6:27">
      <c r="F89" s="1"/>
      <c r="G89" s="1"/>
      <c r="H89" s="1"/>
      <c r="I89" s="1"/>
      <c r="J89" s="1"/>
      <c r="K89" s="1"/>
      <c r="L89" s="1"/>
      <c r="M89" s="1"/>
      <c r="AA89" s="1"/>
    </row>
    <row r="90" customHeight="1" spans="6:27">
      <c r="F90" s="1"/>
      <c r="G90" s="1"/>
      <c r="H90" s="1"/>
      <c r="I90" s="1"/>
      <c r="J90" s="1"/>
      <c r="K90" s="1"/>
      <c r="L90" s="1"/>
      <c r="M90" s="1"/>
      <c r="AA90" s="1"/>
    </row>
    <row r="91" customHeight="1" spans="6:27">
      <c r="F91" s="1"/>
      <c r="G91" s="1"/>
      <c r="H91" s="1"/>
      <c r="I91" s="1"/>
      <c r="J91" s="1"/>
      <c r="K91" s="1"/>
      <c r="L91" s="1"/>
      <c r="M91" s="1"/>
      <c r="AA91" s="1"/>
    </row>
    <row r="92" customHeight="1" spans="6:13">
      <c r="F92" s="1"/>
      <c r="G92" s="1"/>
      <c r="H92" s="1"/>
      <c r="I92" s="1"/>
      <c r="J92" s="1"/>
      <c r="K92" s="1"/>
      <c r="L92" s="1"/>
      <c r="M92" s="1"/>
    </row>
    <row r="93" customHeight="1" spans="6:13">
      <c r="F93" s="1"/>
      <c r="G93" s="1"/>
      <c r="H93" s="1"/>
      <c r="I93" s="1"/>
      <c r="J93" s="1"/>
      <c r="K93" s="1"/>
      <c r="L93" s="1"/>
      <c r="M93" s="1"/>
    </row>
    <row r="94" customHeight="1" spans="6:13">
      <c r="F94" s="1"/>
      <c r="G94" s="1"/>
      <c r="H94" s="1"/>
      <c r="I94" s="1"/>
      <c r="J94" s="1"/>
      <c r="K94" s="1"/>
      <c r="L94" s="1"/>
      <c r="M94" s="1"/>
    </row>
    <row r="95" customHeight="1" spans="6:13">
      <c r="F95" s="1"/>
      <c r="G95" s="1"/>
      <c r="H95" s="1"/>
      <c r="I95" s="1"/>
      <c r="J95" s="1"/>
      <c r="K95" s="1"/>
      <c r="L95" s="1"/>
      <c r="M95" s="1"/>
    </row>
    <row r="96" customHeight="1" spans="6:13">
      <c r="F96" s="1"/>
      <c r="G96" s="1"/>
      <c r="H96" s="1"/>
      <c r="I96" s="1"/>
      <c r="J96" s="1"/>
      <c r="K96" s="1"/>
      <c r="L96" s="1"/>
      <c r="M96" s="1"/>
    </row>
    <row r="97" customHeight="1" spans="6:13">
      <c r="F97" s="1"/>
      <c r="G97" s="1"/>
      <c r="H97" s="1"/>
      <c r="I97" s="1"/>
      <c r="J97" s="1"/>
      <c r="K97" s="1"/>
      <c r="L97" s="1"/>
      <c r="M97" s="1"/>
    </row>
    <row r="98" customHeight="1" spans="6:13">
      <c r="F98" s="1"/>
      <c r="G98" s="1"/>
      <c r="H98" s="1"/>
      <c r="I98" s="1"/>
      <c r="J98" s="1"/>
      <c r="K98" s="1"/>
      <c r="L98" s="1"/>
      <c r="M98" s="1"/>
    </row>
    <row r="99" customHeight="1" spans="6:12">
      <c r="F99" s="1" t="s">
        <v>1554</v>
      </c>
      <c r="G99" s="1"/>
      <c r="H99" s="1"/>
      <c r="I99" s="1"/>
      <c r="J99" s="1"/>
      <c r="K99" s="1"/>
      <c r="L99" s="1"/>
    </row>
    <row r="100" customHeight="1" spans="6:12">
      <c r="F100" s="1"/>
      <c r="G100" s="1"/>
      <c r="H100" s="1"/>
      <c r="I100" s="1"/>
      <c r="K100" s="1"/>
      <c r="L100" s="1"/>
    </row>
    <row r="101" customHeight="1" spans="6:12">
      <c r="F101" s="1"/>
      <c r="G101" s="1"/>
      <c r="H101" s="1"/>
      <c r="I101" s="1"/>
      <c r="K101" s="1"/>
      <c r="L101" s="1"/>
    </row>
    <row r="102" customHeight="1" spans="6:12">
      <c r="F102" s="1"/>
      <c r="G102" s="1"/>
      <c r="H102" s="1"/>
      <c r="I102" s="1"/>
      <c r="K102" s="1"/>
      <c r="L102" s="1"/>
    </row>
    <row r="103" customHeight="1" spans="7:12">
      <c r="G103" s="1"/>
      <c r="H103" s="1"/>
      <c r="I103" s="1"/>
      <c r="K103" s="1"/>
      <c r="L103" s="1"/>
    </row>
    <row r="104" customHeight="1" spans="7:9">
      <c r="G104" s="1"/>
      <c r="H104" s="1"/>
      <c r="I104" s="1"/>
    </row>
    <row r="105" customHeight="1" spans="7:9">
      <c r="G105" s="1"/>
      <c r="H105" s="1"/>
      <c r="I105" s="1"/>
    </row>
  </sheetData>
  <customSheetViews>
    <customSheetView guid="{27B96A40-A6B2-43F7-A93C-713F4207CB2A}">
      <selection activeCell="M18" sqref="M18"/>
      <pageMargins left="0.7" right="0.7" top="0.75" bottom="0.75" header="0.3" footer="0.3"/>
      <headerFooter/>
    </customSheetView>
  </customSheetViews>
  <mergeCells count="38">
    <mergeCell ref="A1:D1"/>
    <mergeCell ref="F2:J2"/>
    <mergeCell ref="C25:D25"/>
    <mergeCell ref="A5:A6"/>
    <mergeCell ref="A7:A8"/>
    <mergeCell ref="A9:A10"/>
    <mergeCell ref="A26:A30"/>
    <mergeCell ref="A31:A34"/>
    <mergeCell ref="A35:A38"/>
    <mergeCell ref="A39:A43"/>
    <mergeCell ref="B26:B30"/>
    <mergeCell ref="B31:B34"/>
    <mergeCell ref="B35:B38"/>
    <mergeCell ref="B39:B43"/>
    <mergeCell ref="F3:F5"/>
    <mergeCell ref="F6:F8"/>
    <mergeCell ref="F12:F14"/>
    <mergeCell ref="F15:F17"/>
    <mergeCell ref="G3:G4"/>
    <mergeCell ref="G6:G7"/>
    <mergeCell ref="G12:G13"/>
    <mergeCell ref="G15:G16"/>
    <mergeCell ref="H3:H4"/>
    <mergeCell ref="H6:H7"/>
    <mergeCell ref="H12:H13"/>
    <mergeCell ref="H15:H16"/>
    <mergeCell ref="I3:I4"/>
    <mergeCell ref="I6:I7"/>
    <mergeCell ref="I12:I13"/>
    <mergeCell ref="I15:I16"/>
    <mergeCell ref="J12:J13"/>
    <mergeCell ref="J15:J16"/>
    <mergeCell ref="A53:D56"/>
    <mergeCell ref="C39:D43"/>
    <mergeCell ref="A12:D23"/>
    <mergeCell ref="C31:D34"/>
    <mergeCell ref="C35:D38"/>
    <mergeCell ref="C26:D30"/>
  </mergeCells>
  <pageMargins left="0.7" right="0.7" top="0.75" bottom="0.75" header="0.3" footer="0.3"/>
  <headerFooter/>
  <drawing r:id="rId2"/>
  <legacyDrawing r:id="rId3"/>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66"/>
  <sheetViews>
    <sheetView workbookViewId="0">
      <selection activeCell="A23" sqref="A23:D28"/>
    </sheetView>
  </sheetViews>
  <sheetFormatPr defaultColWidth="15.625" defaultRowHeight="20.1" customHeight="1"/>
  <cols>
    <col min="1" max="1" width="13.375" style="82" customWidth="1"/>
    <col min="2" max="2" width="20" style="82" customWidth="1"/>
    <col min="3" max="3" width="13.875" style="83" customWidth="1"/>
    <col min="4" max="4" width="17.5" style="82" customWidth="1"/>
    <col min="5" max="5" width="5" style="82" customWidth="1"/>
    <col min="6" max="6" width="14.375" style="82" customWidth="1"/>
    <col min="7" max="7" width="12" style="82" customWidth="1"/>
    <col min="8" max="10" width="10.625" style="82" customWidth="1"/>
    <col min="11" max="11" width="8.875" style="82" customWidth="1"/>
    <col min="12" max="12" width="7.625" style="82" customWidth="1"/>
    <col min="13" max="13" width="7.125" style="82" customWidth="1"/>
    <col min="14" max="15" width="8.5" style="82" customWidth="1"/>
    <col min="16" max="20" width="10.625" style="82" customWidth="1"/>
    <col min="21" max="27" width="8.625" style="82" customWidth="1"/>
    <col min="28" max="16384" width="15.625" style="82"/>
  </cols>
  <sheetData>
    <row r="1" ht="21.95" customHeight="1" spans="1:8">
      <c r="A1" s="124" t="s">
        <v>39</v>
      </c>
      <c r="B1" s="125"/>
      <c r="C1" s="125"/>
      <c r="D1" s="125"/>
      <c r="F1" s="146"/>
      <c r="G1" s="1"/>
      <c r="H1" s="1"/>
    </row>
    <row r="2" customHeight="1" spans="1:30">
      <c r="A2" s="106" t="s">
        <v>2002</v>
      </c>
      <c r="F2" s="146" t="s">
        <v>2003</v>
      </c>
      <c r="G2" s="1"/>
      <c r="H2" s="1"/>
      <c r="I2" s="1"/>
      <c r="R2" s="114"/>
      <c r="S2" s="114"/>
      <c r="T2" s="114"/>
      <c r="V2" s="115"/>
      <c r="W2" s="115"/>
      <c r="X2" s="115"/>
      <c r="Y2" s="115"/>
      <c r="Z2" s="115"/>
      <c r="AA2" s="115"/>
      <c r="AB2" s="115"/>
      <c r="AC2" s="115"/>
      <c r="AD2" s="115"/>
    </row>
    <row r="3" customHeight="1" spans="1:30">
      <c r="A3" s="9" t="s">
        <v>269</v>
      </c>
      <c r="B3" s="9" t="s">
        <v>270</v>
      </c>
      <c r="C3" s="32" t="s">
        <v>271</v>
      </c>
      <c r="D3" s="9" t="s">
        <v>272</v>
      </c>
      <c r="F3" s="92" t="s">
        <v>2004</v>
      </c>
      <c r="G3" s="9" t="s">
        <v>2005</v>
      </c>
      <c r="H3" s="9" t="s">
        <v>2006</v>
      </c>
      <c r="I3" s="1"/>
      <c r="T3" s="114"/>
      <c r="V3" s="115"/>
      <c r="W3" s="115"/>
      <c r="X3" s="115"/>
      <c r="Y3" s="115"/>
      <c r="Z3" s="115"/>
      <c r="AA3" s="115"/>
      <c r="AB3" s="115"/>
      <c r="AC3" s="115"/>
      <c r="AD3" s="115"/>
    </row>
    <row r="4" customHeight="1" spans="1:30">
      <c r="A4" s="271" t="s">
        <v>1083</v>
      </c>
      <c r="B4" s="92" t="s">
        <v>2007</v>
      </c>
      <c r="C4" s="151" t="s">
        <v>2008</v>
      </c>
      <c r="D4" s="9"/>
      <c r="F4" s="92" t="s">
        <v>2009</v>
      </c>
      <c r="G4" s="28" t="s">
        <v>2010</v>
      </c>
      <c r="H4" s="28" t="s">
        <v>2011</v>
      </c>
      <c r="I4" s="1"/>
      <c r="T4" s="114"/>
      <c r="W4" s="1"/>
      <c r="X4" s="1"/>
      <c r="Y4" s="1"/>
      <c r="Z4" s="1"/>
      <c r="AA4" s="1"/>
      <c r="AB4" s="1"/>
      <c r="AC4" s="1"/>
      <c r="AD4" s="1"/>
    </row>
    <row r="5" customHeight="1" spans="1:31">
      <c r="A5" s="271"/>
      <c r="B5" s="9" t="s">
        <v>1777</v>
      </c>
      <c r="C5" s="91">
        <v>2</v>
      </c>
      <c r="D5" s="9" t="str">
        <f>C5*9.8&amp;"N"</f>
        <v>19.6N</v>
      </c>
      <c r="F5" s="92" t="s">
        <v>2012</v>
      </c>
      <c r="G5" s="28" t="s">
        <v>2013</v>
      </c>
      <c r="H5" s="28" t="s">
        <v>2014</v>
      </c>
      <c r="I5" s="1"/>
      <c r="T5" s="114"/>
      <c r="W5" s="114"/>
      <c r="X5" s="114"/>
      <c r="Y5" s="114"/>
      <c r="Z5" s="114"/>
      <c r="AA5" s="114"/>
      <c r="AB5" s="114"/>
      <c r="AC5" s="114"/>
      <c r="AD5" s="114"/>
      <c r="AE5" s="1"/>
    </row>
    <row r="6" customHeight="1" spans="1:31">
      <c r="A6" s="271"/>
      <c r="B6" s="9" t="s">
        <v>2015</v>
      </c>
      <c r="C6" s="91">
        <v>2</v>
      </c>
      <c r="D6" s="92"/>
      <c r="F6" s="92" t="s">
        <v>2016</v>
      </c>
      <c r="G6" s="253" t="s">
        <v>2017</v>
      </c>
      <c r="H6" s="253" t="s">
        <v>2018</v>
      </c>
      <c r="I6" s="1"/>
      <c r="T6" s="114"/>
      <c r="W6" s="114"/>
      <c r="X6" s="114"/>
      <c r="Y6" s="114"/>
      <c r="Z6" s="114"/>
      <c r="AE6" s="114"/>
    </row>
    <row r="7" customHeight="1" spans="1:29">
      <c r="A7" s="271"/>
      <c r="B7" s="9" t="s">
        <v>2019</v>
      </c>
      <c r="C7" s="91">
        <v>175</v>
      </c>
      <c r="D7" s="92" t="s">
        <v>2020</v>
      </c>
      <c r="F7" s="1"/>
      <c r="G7" s="1"/>
      <c r="H7" s="1"/>
      <c r="I7" s="1"/>
      <c r="U7" s="114"/>
      <c r="V7" s="114"/>
      <c r="W7" s="114"/>
      <c r="X7" s="114"/>
      <c r="Y7" s="114"/>
      <c r="Z7" s="114"/>
      <c r="AA7" s="114"/>
      <c r="AB7" s="114"/>
      <c r="AC7" s="114"/>
    </row>
    <row r="8" customHeight="1" spans="1:30">
      <c r="A8" s="271"/>
      <c r="B8" s="9" t="s">
        <v>2021</v>
      </c>
      <c r="C8" s="91">
        <v>20</v>
      </c>
      <c r="D8" s="9"/>
      <c r="F8" s="106" t="s">
        <v>2022</v>
      </c>
      <c r="G8" s="1"/>
      <c r="H8" s="1"/>
      <c r="I8" s="1"/>
      <c r="J8" s="1"/>
      <c r="K8" s="1"/>
      <c r="L8" s="1"/>
      <c r="M8" s="1"/>
      <c r="V8" s="114"/>
      <c r="W8" s="114"/>
      <c r="X8" s="114"/>
      <c r="Y8" s="114"/>
      <c r="Z8" s="114"/>
      <c r="AA8" s="114"/>
      <c r="AB8" s="114"/>
      <c r="AC8" s="114"/>
      <c r="AD8" s="114"/>
    </row>
    <row r="9" customHeight="1" spans="1:23">
      <c r="A9" s="271"/>
      <c r="B9" s="9" t="s">
        <v>2023</v>
      </c>
      <c r="C9" s="91">
        <f>2*10*360*5</f>
        <v>36000</v>
      </c>
      <c r="D9" s="9" t="s">
        <v>2024</v>
      </c>
      <c r="F9" s="254" t="s">
        <v>2025</v>
      </c>
      <c r="G9" s="32" t="s">
        <v>2026</v>
      </c>
      <c r="H9" s="1"/>
      <c r="I9" s="1"/>
      <c r="J9" s="1"/>
      <c r="K9" s="1"/>
      <c r="L9" s="1"/>
      <c r="M9" s="1"/>
      <c r="U9" s="114"/>
      <c r="V9" s="114"/>
      <c r="W9" s="114"/>
    </row>
    <row r="10" customHeight="1" spans="1:15">
      <c r="A10" s="4" t="s">
        <v>2027</v>
      </c>
      <c r="B10" s="9" t="s">
        <v>2028</v>
      </c>
      <c r="C10" s="32">
        <f>C8*2*C7/1000</f>
        <v>7</v>
      </c>
      <c r="D10" s="9"/>
      <c r="F10" s="32">
        <v>1</v>
      </c>
      <c r="G10" s="28">
        <v>1</v>
      </c>
      <c r="H10" s="1"/>
      <c r="I10" s="1"/>
      <c r="J10" s="1"/>
      <c r="K10" s="1"/>
      <c r="L10" s="1"/>
      <c r="M10" s="1"/>
      <c r="O10" s="1"/>
    </row>
    <row r="11" customHeight="1" spans="1:13">
      <c r="A11" s="4"/>
      <c r="B11" s="9" t="s">
        <v>2029</v>
      </c>
      <c r="C11" s="91">
        <v>1.2</v>
      </c>
      <c r="D11" s="9" t="s">
        <v>901</v>
      </c>
      <c r="F11" s="32">
        <v>2</v>
      </c>
      <c r="G11" s="28">
        <v>0.81</v>
      </c>
      <c r="H11" s="1"/>
      <c r="I11" s="1"/>
      <c r="J11" s="1"/>
      <c r="K11" s="1"/>
      <c r="L11" s="1"/>
      <c r="M11" s="1"/>
    </row>
    <row r="12" customHeight="1" spans="1:27">
      <c r="A12" s="4"/>
      <c r="B12" s="9" t="s">
        <v>2030</v>
      </c>
      <c r="C12" s="91">
        <v>57</v>
      </c>
      <c r="D12" s="9" t="s">
        <v>2031</v>
      </c>
      <c r="F12" s="32">
        <v>3</v>
      </c>
      <c r="G12" s="28">
        <v>0.72</v>
      </c>
      <c r="H12" s="1"/>
      <c r="I12" s="1"/>
      <c r="J12" s="1"/>
      <c r="K12" s="1"/>
      <c r="L12" s="1"/>
      <c r="M12" s="1"/>
      <c r="AA12" s="1"/>
    </row>
    <row r="13" customHeight="1" spans="1:27">
      <c r="A13" s="4"/>
      <c r="B13" s="9" t="s">
        <v>2032</v>
      </c>
      <c r="C13" s="97">
        <f>IF(C12&lt;57,-0.000000029056202*C12^6+0.000007475998062*C12^5-0.000793552083205*C12^4+0.044508155269588*C12^3-1.39104856058973*C12^2+22.9720175059869*C12-156.474607500798,1)</f>
        <v>1</v>
      </c>
      <c r="D13" s="9"/>
      <c r="F13" s="32">
        <v>4</v>
      </c>
      <c r="G13" s="253">
        <v>0.66</v>
      </c>
      <c r="H13" s="1"/>
      <c r="I13" s="1"/>
      <c r="J13" s="1"/>
      <c r="K13" s="1"/>
      <c r="L13" s="1"/>
      <c r="M13" s="1"/>
      <c r="AA13" s="1"/>
    </row>
    <row r="14" customHeight="1" spans="1:27">
      <c r="A14" s="4"/>
      <c r="B14" s="9" t="s">
        <v>2033</v>
      </c>
      <c r="C14" s="109">
        <v>100</v>
      </c>
      <c r="D14" s="9" t="s">
        <v>2034</v>
      </c>
      <c r="F14" s="32">
        <v>5</v>
      </c>
      <c r="G14" s="253">
        <v>0.61</v>
      </c>
      <c r="H14" s="1"/>
      <c r="I14" s="1"/>
      <c r="J14" s="1"/>
      <c r="K14" s="1"/>
      <c r="L14" s="1"/>
      <c r="M14" s="1"/>
      <c r="AA14" s="1"/>
    </row>
    <row r="15" customHeight="1" spans="1:27">
      <c r="A15" s="4"/>
      <c r="B15" s="9" t="s">
        <v>2035</v>
      </c>
      <c r="C15" s="97">
        <f>IF(C14&gt;100,-0.000015869130869*C14^2+0.002670689310689*C14+0.887959740259746,1)</f>
        <v>1</v>
      </c>
      <c r="D15" s="9"/>
      <c r="F15" s="32" t="s">
        <v>2036</v>
      </c>
      <c r="G15" s="253">
        <v>0.6</v>
      </c>
      <c r="H15" s="1"/>
      <c r="I15" s="1"/>
      <c r="J15" s="1"/>
      <c r="K15" s="1"/>
      <c r="L15" s="1"/>
      <c r="M15" s="1"/>
      <c r="AA15" s="1"/>
    </row>
    <row r="16" customHeight="1" spans="1:27">
      <c r="A16" s="4"/>
      <c r="B16" s="92" t="s">
        <v>2037</v>
      </c>
      <c r="C16" s="91">
        <v>1</v>
      </c>
      <c r="D16" s="9"/>
      <c r="F16" s="1"/>
      <c r="G16" s="1"/>
      <c r="H16" s="1"/>
      <c r="I16" s="1"/>
      <c r="J16" s="1"/>
      <c r="K16" s="1"/>
      <c r="L16" s="1"/>
      <c r="M16" s="1"/>
      <c r="AA16" s="1"/>
    </row>
    <row r="17" customHeight="1" spans="1:27">
      <c r="A17" s="4"/>
      <c r="B17" s="9" t="s">
        <v>2038</v>
      </c>
      <c r="C17" s="32">
        <f>IF(C16=1,1,IF(C16=2,0.81,IF(C16=3,0.72,IF(C16=4,0.66,IF(C16=5,0.61,IF(OR(C16=6,C16&gt;6),0.6,请填轴承数))))))</f>
        <v>1</v>
      </c>
      <c r="D17" s="9" t="s">
        <v>1885</v>
      </c>
      <c r="F17" s="1"/>
      <c r="G17" s="1"/>
      <c r="H17" s="1"/>
      <c r="I17" s="1"/>
      <c r="J17" s="1"/>
      <c r="K17" s="1"/>
      <c r="L17" s="1"/>
      <c r="M17" s="1"/>
      <c r="AA17" s="1"/>
    </row>
    <row r="18" customHeight="1" spans="1:29">
      <c r="A18" s="4"/>
      <c r="B18" s="9" t="s">
        <v>2039</v>
      </c>
      <c r="C18" s="128">
        <f>1.2*C5*9.8/C6</f>
        <v>11.76</v>
      </c>
      <c r="D18" s="272" t="s">
        <v>2040</v>
      </c>
      <c r="F18" s="1"/>
      <c r="G18" s="1"/>
      <c r="H18" s="1"/>
      <c r="I18" s="1"/>
      <c r="J18" s="1"/>
      <c r="K18" s="1"/>
      <c r="L18" s="1"/>
      <c r="M18" s="1"/>
      <c r="AC18" s="1"/>
    </row>
    <row r="19" customHeight="1" spans="1:29">
      <c r="A19" s="4"/>
      <c r="B19" s="9" t="s">
        <v>2041</v>
      </c>
      <c r="C19" s="128">
        <f>C9*60*C8*2*C7/10^6</f>
        <v>15120</v>
      </c>
      <c r="D19" s="272" t="s">
        <v>2042</v>
      </c>
      <c r="F19" s="1"/>
      <c r="G19" s="1"/>
      <c r="H19" s="1"/>
      <c r="I19" s="1"/>
      <c r="J19" s="1"/>
      <c r="K19" s="1"/>
      <c r="L19" s="1"/>
      <c r="M19" s="1"/>
      <c r="AC19" s="1"/>
    </row>
    <row r="20" customHeight="1" spans="1:29">
      <c r="A20" s="4"/>
      <c r="B20" s="9" t="s">
        <v>2043</v>
      </c>
      <c r="C20" s="104">
        <f>IF(C4="滚珠",C18*C11/(C15*C13*C17)*(C19/50)^(1/3),IF(C4="滚柱",C18*C11/(C15*C13*C17)*(C19/100)^(3/10),"请选择滚动体类型"))</f>
        <v>94.721630103916</v>
      </c>
      <c r="D20" s="90" t="s">
        <v>2044</v>
      </c>
      <c r="F20" s="1"/>
      <c r="G20" s="1"/>
      <c r="H20" s="1"/>
      <c r="I20" s="1"/>
      <c r="J20" s="1"/>
      <c r="K20" s="1"/>
      <c r="L20" s="1"/>
      <c r="M20" s="1"/>
      <c r="AC20" s="1"/>
    </row>
    <row r="21" customHeight="1" spans="1:29">
      <c r="A21" s="4"/>
      <c r="B21" s="92" t="s">
        <v>2045</v>
      </c>
      <c r="C21" s="260"/>
      <c r="D21" s="202"/>
      <c r="F21" s="1"/>
      <c r="G21" s="1"/>
      <c r="H21" s="1"/>
      <c r="I21" s="1"/>
      <c r="J21" s="1"/>
      <c r="K21" s="1"/>
      <c r="L21" s="1"/>
      <c r="M21" s="1"/>
      <c r="AC21" s="1"/>
    </row>
    <row r="22" customHeight="1" spans="6:29">
      <c r="F22" s="1"/>
      <c r="G22" s="1"/>
      <c r="H22" s="1"/>
      <c r="I22" s="1"/>
      <c r="J22" s="1"/>
      <c r="K22" s="1"/>
      <c r="L22" s="1"/>
      <c r="M22" s="1"/>
      <c r="AC22" s="1"/>
    </row>
    <row r="23" customHeight="1" spans="1:29">
      <c r="A23" s="273" t="s">
        <v>2046</v>
      </c>
      <c r="B23" s="274"/>
      <c r="C23" s="274"/>
      <c r="D23" s="275"/>
      <c r="F23" s="1"/>
      <c r="G23" s="1"/>
      <c r="H23" s="1"/>
      <c r="I23" s="1"/>
      <c r="J23" s="1"/>
      <c r="K23" s="1"/>
      <c r="L23" s="1"/>
      <c r="M23" s="1"/>
      <c r="AC23" s="1"/>
    </row>
    <row r="24" customHeight="1" spans="1:29">
      <c r="A24" s="276"/>
      <c r="B24" s="277"/>
      <c r="C24" s="277"/>
      <c r="D24" s="278"/>
      <c r="F24" s="1"/>
      <c r="G24" s="1"/>
      <c r="H24" s="1"/>
      <c r="I24" s="1"/>
      <c r="J24" s="1"/>
      <c r="K24" s="1"/>
      <c r="L24" s="1"/>
      <c r="M24" s="1"/>
      <c r="AC24" s="1"/>
    </row>
    <row r="25" customHeight="1" spans="1:28">
      <c r="A25" s="276"/>
      <c r="B25" s="277"/>
      <c r="C25" s="277"/>
      <c r="D25" s="278"/>
      <c r="F25" s="1"/>
      <c r="G25" s="1"/>
      <c r="H25" s="1"/>
      <c r="J25" s="1"/>
      <c r="K25" s="1"/>
      <c r="L25" s="1"/>
      <c r="M25" s="1"/>
      <c r="AB25" s="1"/>
    </row>
    <row r="26" customHeight="1" spans="1:28">
      <c r="A26" s="276"/>
      <c r="B26" s="277"/>
      <c r="C26" s="277"/>
      <c r="D26" s="278"/>
      <c r="F26" s="1"/>
      <c r="G26" s="1"/>
      <c r="H26" s="1"/>
      <c r="J26" s="1"/>
      <c r="K26" s="1"/>
      <c r="L26" s="1"/>
      <c r="M26" s="1"/>
      <c r="AB26" s="1"/>
    </row>
    <row r="27" customHeight="1" spans="1:28">
      <c r="A27" s="276"/>
      <c r="B27" s="277"/>
      <c r="C27" s="277"/>
      <c r="D27" s="278"/>
      <c r="F27" s="1"/>
      <c r="G27" s="1"/>
      <c r="H27" s="1"/>
      <c r="J27" s="1"/>
      <c r="K27" s="1"/>
      <c r="L27" s="1"/>
      <c r="M27" s="1"/>
      <c r="AB27" s="1"/>
    </row>
    <row r="28" customHeight="1" spans="1:28">
      <c r="A28" s="276"/>
      <c r="B28" s="277"/>
      <c r="C28" s="277"/>
      <c r="D28" s="278"/>
      <c r="F28" s="1"/>
      <c r="G28" s="1"/>
      <c r="H28" s="1"/>
      <c r="I28" s="1"/>
      <c r="J28" s="1"/>
      <c r="K28" s="1"/>
      <c r="L28" s="1"/>
      <c r="M28" s="1"/>
      <c r="AB28" s="1"/>
    </row>
    <row r="29" customHeight="1" spans="1:28">
      <c r="A29" s="240" t="s">
        <v>2047</v>
      </c>
      <c r="B29" s="241"/>
      <c r="C29" s="241"/>
      <c r="D29" s="242"/>
      <c r="F29" s="1"/>
      <c r="G29" s="1"/>
      <c r="H29" s="1"/>
      <c r="I29" s="1"/>
      <c r="J29" s="1"/>
      <c r="K29" s="1"/>
      <c r="L29" s="1"/>
      <c r="M29" s="1"/>
      <c r="AB29" s="1"/>
    </row>
    <row r="30" customHeight="1" spans="1:28">
      <c r="A30" s="243"/>
      <c r="B30" s="244"/>
      <c r="C30" s="244"/>
      <c r="D30" s="245"/>
      <c r="F30" s="1"/>
      <c r="G30" s="1"/>
      <c r="H30" s="1"/>
      <c r="I30" s="1"/>
      <c r="J30" s="1"/>
      <c r="K30" s="1"/>
      <c r="L30" s="1"/>
      <c r="M30" s="1"/>
      <c r="AB30" s="1"/>
    </row>
    <row r="31" customHeight="1" spans="1:28">
      <c r="A31" s="243"/>
      <c r="B31" s="244"/>
      <c r="C31" s="244"/>
      <c r="D31" s="245"/>
      <c r="F31" s="1"/>
      <c r="G31" s="1"/>
      <c r="H31" s="1"/>
      <c r="I31" s="1"/>
      <c r="K31" s="209"/>
      <c r="AB31" s="1"/>
    </row>
    <row r="32" customHeight="1" spans="1:28">
      <c r="A32" s="246"/>
      <c r="B32" s="247"/>
      <c r="C32" s="247"/>
      <c r="D32" s="248"/>
      <c r="F32" s="1"/>
      <c r="G32" s="1"/>
      <c r="H32" s="1"/>
      <c r="I32" s="1"/>
      <c r="K32" s="209"/>
      <c r="AB32" s="1"/>
    </row>
    <row r="33" customHeight="1" spans="1:29">
      <c r="A33" s="106" t="s">
        <v>2048</v>
      </c>
      <c r="F33" s="1"/>
      <c r="G33" s="1"/>
      <c r="H33" s="1"/>
      <c r="I33" s="1"/>
      <c r="K33" s="209"/>
      <c r="AC33" s="1"/>
    </row>
    <row r="34" customHeight="1" spans="6:29">
      <c r="F34" s="1"/>
      <c r="G34" s="1"/>
      <c r="H34" s="1"/>
      <c r="I34" s="1"/>
      <c r="J34" s="1"/>
      <c r="K34" s="1"/>
      <c r="L34" s="1"/>
      <c r="M34" s="1"/>
      <c r="AC34" s="1"/>
    </row>
    <row r="35" customHeight="1" spans="6:29">
      <c r="F35" s="1"/>
      <c r="G35" s="1"/>
      <c r="H35" s="1"/>
      <c r="I35" s="1"/>
      <c r="J35" s="1"/>
      <c r="K35" s="1"/>
      <c r="L35" s="1"/>
      <c r="M35" s="1"/>
      <c r="AC35" s="1"/>
    </row>
    <row r="36" customHeight="1" spans="6:29">
      <c r="F36" s="1"/>
      <c r="G36" s="1"/>
      <c r="H36" s="1"/>
      <c r="I36" s="1"/>
      <c r="J36" s="1"/>
      <c r="K36" s="1"/>
      <c r="L36" s="1"/>
      <c r="M36" s="1"/>
      <c r="AC36" s="1"/>
    </row>
    <row r="37" customHeight="1" spans="6:29">
      <c r="F37" s="1"/>
      <c r="G37" s="1"/>
      <c r="H37" s="1"/>
      <c r="I37" s="1"/>
      <c r="J37" s="1"/>
      <c r="K37" s="1"/>
      <c r="L37" s="1"/>
      <c r="M37" s="1"/>
      <c r="AC37" s="1"/>
    </row>
    <row r="38" customHeight="1" spans="6:29">
      <c r="F38" s="1"/>
      <c r="G38" s="1"/>
      <c r="H38" s="1"/>
      <c r="I38" s="1"/>
      <c r="J38" s="1"/>
      <c r="K38" s="1"/>
      <c r="L38" s="1"/>
      <c r="M38" s="1"/>
      <c r="AC38" s="1"/>
    </row>
    <row r="39" customHeight="1" spans="6:29">
      <c r="F39" s="1"/>
      <c r="G39" s="1"/>
      <c r="H39" s="1"/>
      <c r="I39" s="1"/>
      <c r="J39" s="222"/>
      <c r="K39" s="1"/>
      <c r="L39" s="1"/>
      <c r="M39" s="1"/>
      <c r="AC39" s="1"/>
    </row>
    <row r="40" customHeight="1" spans="6:29">
      <c r="F40" s="1"/>
      <c r="G40" s="1"/>
      <c r="H40" s="1"/>
      <c r="I40" s="1"/>
      <c r="J40" s="222"/>
      <c r="K40" s="1"/>
      <c r="L40" s="1"/>
      <c r="M40" s="1"/>
      <c r="X40" s="1"/>
      <c r="AC40" s="1"/>
    </row>
    <row r="41" customHeight="1" spans="6:29">
      <c r="F41" s="1"/>
      <c r="G41" s="1"/>
      <c r="H41" s="1"/>
      <c r="I41" s="1"/>
      <c r="J41" s="222"/>
      <c r="K41" s="1"/>
      <c r="L41" s="1"/>
      <c r="M41" s="1"/>
      <c r="X41" s="1"/>
      <c r="AC41" s="1"/>
    </row>
    <row r="42" customHeight="1" spans="9:29">
      <c r="I42" s="1"/>
      <c r="J42" s="222"/>
      <c r="K42" s="1"/>
      <c r="L42" s="1"/>
      <c r="M42" s="1"/>
      <c r="X42" s="1"/>
      <c r="AC42" s="1"/>
    </row>
    <row r="43" customHeight="1" spans="9:29">
      <c r="I43" s="222"/>
      <c r="J43" s="222"/>
      <c r="K43" s="1"/>
      <c r="L43" s="1"/>
      <c r="M43" s="1"/>
      <c r="AC43" s="1"/>
    </row>
    <row r="44" customHeight="1" spans="10:29">
      <c r="J44" s="1"/>
      <c r="K44" s="1"/>
      <c r="L44" s="1"/>
      <c r="M44" s="1"/>
      <c r="AC44" s="1"/>
    </row>
    <row r="45" customHeight="1" spans="10:29">
      <c r="J45" s="1"/>
      <c r="K45" s="1"/>
      <c r="L45" s="1"/>
      <c r="M45" s="1"/>
      <c r="AC45" s="1"/>
    </row>
    <row r="46" customHeight="1" spans="6:13">
      <c r="F46" s="1"/>
      <c r="G46" s="1"/>
      <c r="H46" s="1"/>
      <c r="I46" s="1"/>
      <c r="J46" s="1"/>
      <c r="K46" s="1"/>
      <c r="L46" s="1"/>
      <c r="M46" s="1"/>
    </row>
    <row r="47" customHeight="1" spans="6:13">
      <c r="F47" s="1"/>
      <c r="G47" s="1"/>
      <c r="H47" s="1"/>
      <c r="I47" s="1"/>
      <c r="J47" s="1"/>
      <c r="K47" s="1"/>
      <c r="L47" s="1"/>
      <c r="M47" s="1"/>
    </row>
    <row r="48" customHeight="1" spans="6:13">
      <c r="F48" s="1"/>
      <c r="G48" s="1"/>
      <c r="H48" s="1"/>
      <c r="I48" s="1"/>
      <c r="J48" s="1"/>
      <c r="K48" s="1"/>
      <c r="L48" s="1"/>
      <c r="M48" s="1"/>
    </row>
    <row r="49" customHeight="1" spans="6:29">
      <c r="F49" s="1"/>
      <c r="G49" s="1"/>
      <c r="H49" s="1"/>
      <c r="I49" s="1"/>
      <c r="J49" s="1"/>
      <c r="K49" s="1"/>
      <c r="L49" s="1"/>
      <c r="M49" s="1"/>
      <c r="AC49" s="1"/>
    </row>
    <row r="50" customHeight="1" spans="1:29">
      <c r="A50" s="82" t="s">
        <v>2049</v>
      </c>
      <c r="F50" s="1"/>
      <c r="G50" s="1"/>
      <c r="H50" s="1"/>
      <c r="I50" s="1"/>
      <c r="J50" s="1"/>
      <c r="K50" s="1"/>
      <c r="L50" s="1"/>
      <c r="M50" s="1"/>
      <c r="AC50" s="1"/>
    </row>
    <row r="51" customHeight="1" spans="10:29">
      <c r="J51" s="1"/>
      <c r="K51" s="1"/>
      <c r="L51" s="1"/>
      <c r="M51" s="1"/>
      <c r="AC51" s="1"/>
    </row>
    <row r="52" customHeight="1" spans="10:29">
      <c r="J52" s="1"/>
      <c r="K52" s="1"/>
      <c r="L52" s="1"/>
      <c r="M52" s="1"/>
      <c r="AC52" s="1"/>
    </row>
    <row r="53" customHeight="1" spans="10:29">
      <c r="J53" s="1"/>
      <c r="K53" s="1"/>
      <c r="L53" s="1"/>
      <c r="M53" s="1"/>
      <c r="AC53" s="1"/>
    </row>
    <row r="54" customHeight="1" spans="10:29">
      <c r="J54" s="1"/>
      <c r="K54" s="1"/>
      <c r="AC54" s="1"/>
    </row>
    <row r="55" customHeight="1" spans="10:29">
      <c r="J55" s="1"/>
      <c r="K55" s="1"/>
      <c r="AC55" s="1"/>
    </row>
    <row r="56" customHeight="1" spans="10:29">
      <c r="J56" s="1"/>
      <c r="K56" s="1"/>
      <c r="AC56" s="1"/>
    </row>
    <row r="57" customHeight="1" spans="11:29">
      <c r="K57" s="1"/>
      <c r="AC57" s="1"/>
    </row>
    <row r="58" customHeight="1" spans="29:29">
      <c r="AC58" s="1"/>
    </row>
    <row r="59" customHeight="1" spans="29:29">
      <c r="AC59" s="1"/>
    </row>
    <row r="60" customHeight="1" spans="29:29">
      <c r="AC60" s="1"/>
    </row>
    <row r="61" customHeight="1" spans="29:29">
      <c r="AC61" s="1"/>
    </row>
    <row r="62" customHeight="1" spans="29:29">
      <c r="AC62" s="1"/>
    </row>
    <row r="63" customHeight="1" spans="29:29">
      <c r="AC63" s="1"/>
    </row>
    <row r="64" customHeight="1" spans="29:29">
      <c r="AC64" s="1"/>
    </row>
    <row r="65" customHeight="1" spans="29:29">
      <c r="AC65" s="1"/>
    </row>
    <row r="66" customHeight="1" spans="29:29">
      <c r="AC66" s="1"/>
    </row>
  </sheetData>
  <customSheetViews>
    <customSheetView guid="{27B96A40-A6B2-43F7-A93C-713F4207CB2A}">
      <selection activeCell="J30" sqref="J30"/>
      <pageMargins left="0.7" right="0.7" top="0.75" bottom="0.75" header="0.3" footer="0.3"/>
      <pageSetup paperSize="9" orientation="portrait"/>
      <headerFooter/>
    </customSheetView>
  </customSheetViews>
  <mergeCells count="6">
    <mergeCell ref="A1:D1"/>
    <mergeCell ref="A4:A9"/>
    <mergeCell ref="A10:A21"/>
    <mergeCell ref="D20:D21"/>
    <mergeCell ref="A29:D32"/>
    <mergeCell ref="A23:D28"/>
  </mergeCells>
  <dataValidations count="1">
    <dataValidation type="list" allowBlank="1" showInputMessage="1" showErrorMessage="1" prompt="请选择" sqref="C4">
      <formula1>"滚珠,滚柱"</formula1>
    </dataValidation>
  </dataValidations>
  <pageMargins left="0.7" right="0.7" top="0.75" bottom="0.75" header="0.3" footer="0.3"/>
  <pageSetup paperSize="9" orientation="portrait"/>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77"/>
  <sheetViews>
    <sheetView workbookViewId="0">
      <selection activeCell="A41" sqref="A41:D49"/>
    </sheetView>
  </sheetViews>
  <sheetFormatPr defaultColWidth="15.625" defaultRowHeight="20.1" customHeight="1"/>
  <cols>
    <col min="1" max="1" width="13.375" style="82" customWidth="1"/>
    <col min="2" max="2" width="20" style="82" customWidth="1"/>
    <col min="3" max="3" width="13.875" style="83" customWidth="1"/>
    <col min="4" max="4" width="17.5" style="82" customWidth="1"/>
    <col min="5" max="5" width="5" style="82" customWidth="1"/>
    <col min="6" max="6" width="14.375" style="82" customWidth="1"/>
    <col min="7" max="7" width="13.25" style="82" customWidth="1"/>
    <col min="8" max="10" width="10.625" style="82" customWidth="1"/>
    <col min="11" max="11" width="8.875" style="82" customWidth="1"/>
    <col min="12" max="12" width="7.625" style="82" customWidth="1"/>
    <col min="13" max="13" width="7.125" style="82" customWidth="1"/>
    <col min="14" max="15" width="8.5" style="82" customWidth="1"/>
    <col min="16" max="20" width="10.625" style="82" customWidth="1"/>
    <col min="21" max="27" width="8.625" style="82" customWidth="1"/>
    <col min="28" max="16384" width="15.625" style="82"/>
  </cols>
  <sheetData>
    <row r="1" ht="21.95" customHeight="1" spans="1:8">
      <c r="A1" s="249" t="s">
        <v>2050</v>
      </c>
      <c r="B1" s="250"/>
      <c r="C1" s="250"/>
      <c r="D1" s="250"/>
      <c r="F1" s="146"/>
      <c r="G1" s="1"/>
      <c r="H1" s="1"/>
    </row>
    <row r="2" customHeight="1" spans="1:30">
      <c r="A2" s="106" t="s">
        <v>2002</v>
      </c>
      <c r="F2" s="146" t="s">
        <v>2003</v>
      </c>
      <c r="G2" s="1"/>
      <c r="H2" s="1"/>
      <c r="I2" s="1"/>
      <c r="J2" s="106" t="s">
        <v>2051</v>
      </c>
      <c r="R2" s="114"/>
      <c r="S2" s="114"/>
      <c r="T2" s="114"/>
      <c r="V2" s="115"/>
      <c r="W2" s="115"/>
      <c r="X2" s="115"/>
      <c r="Y2" s="115"/>
      <c r="Z2" s="115"/>
      <c r="AA2" s="115"/>
      <c r="AB2" s="115"/>
      <c r="AC2" s="115"/>
      <c r="AD2" s="115"/>
    </row>
    <row r="3" customHeight="1" spans="1:30">
      <c r="A3" s="9" t="s">
        <v>269</v>
      </c>
      <c r="B3" s="9" t="s">
        <v>270</v>
      </c>
      <c r="C3" s="32" t="s">
        <v>271</v>
      </c>
      <c r="D3" s="9" t="s">
        <v>272</v>
      </c>
      <c r="F3" s="92" t="s">
        <v>2052</v>
      </c>
      <c r="G3" s="9" t="s">
        <v>2005</v>
      </c>
      <c r="H3" s="9" t="s">
        <v>2006</v>
      </c>
      <c r="I3" s="1"/>
      <c r="T3" s="114"/>
      <c r="V3" s="115"/>
      <c r="W3" s="115"/>
      <c r="X3" s="115"/>
      <c r="Y3" s="115"/>
      <c r="Z3" s="115"/>
      <c r="AA3" s="115"/>
      <c r="AB3" s="115"/>
      <c r="AC3" s="115"/>
      <c r="AD3" s="115"/>
    </row>
    <row r="4" customHeight="1" spans="1:30">
      <c r="A4" s="251" t="s">
        <v>1083</v>
      </c>
      <c r="B4" s="92" t="s">
        <v>2053</v>
      </c>
      <c r="C4" s="151" t="s">
        <v>1595</v>
      </c>
      <c r="D4" s="9" t="s">
        <v>1885</v>
      </c>
      <c r="F4" s="92" t="s">
        <v>2054</v>
      </c>
      <c r="G4" s="28" t="s">
        <v>2010</v>
      </c>
      <c r="H4" s="28" t="s">
        <v>263</v>
      </c>
      <c r="I4" s="1"/>
      <c r="T4" s="114"/>
      <c r="W4" s="1"/>
      <c r="X4" s="1"/>
      <c r="Y4" s="1"/>
      <c r="Z4" s="1"/>
      <c r="AA4" s="1"/>
      <c r="AB4" s="1"/>
      <c r="AC4" s="1"/>
      <c r="AD4" s="1"/>
    </row>
    <row r="5" customHeight="1" spans="1:31">
      <c r="A5" s="252"/>
      <c r="B5" s="92" t="s">
        <v>2007</v>
      </c>
      <c r="C5" s="151" t="s">
        <v>2008</v>
      </c>
      <c r="D5" s="9"/>
      <c r="F5" s="92" t="s">
        <v>568</v>
      </c>
      <c r="G5" s="28" t="s">
        <v>2013</v>
      </c>
      <c r="H5" s="28" t="s">
        <v>943</v>
      </c>
      <c r="I5" s="1"/>
      <c r="T5" s="114"/>
      <c r="W5" s="114"/>
      <c r="X5" s="114"/>
      <c r="Y5" s="114"/>
      <c r="Z5" s="114"/>
      <c r="AA5" s="114"/>
      <c r="AB5" s="114"/>
      <c r="AC5" s="114"/>
      <c r="AD5" s="114"/>
      <c r="AE5" s="1"/>
    </row>
    <row r="6" customHeight="1" spans="1:31">
      <c r="A6" s="252"/>
      <c r="B6" s="9" t="s">
        <v>1777</v>
      </c>
      <c r="C6" s="91">
        <v>330</v>
      </c>
      <c r="D6" s="9"/>
      <c r="F6" s="92" t="s">
        <v>860</v>
      </c>
      <c r="G6" s="253" t="s">
        <v>2055</v>
      </c>
      <c r="H6" s="253" t="s">
        <v>2014</v>
      </c>
      <c r="I6" s="1"/>
      <c r="T6" s="114"/>
      <c r="W6" s="114"/>
      <c r="X6" s="114"/>
      <c r="Y6" s="114"/>
      <c r="Z6" s="114"/>
      <c r="AE6" s="114"/>
    </row>
    <row r="7" customHeight="1" spans="1:29">
      <c r="A7" s="252"/>
      <c r="B7" s="9" t="s">
        <v>2015</v>
      </c>
      <c r="C7" s="91">
        <v>2</v>
      </c>
      <c r="D7" s="92"/>
      <c r="F7" s="92" t="s">
        <v>570</v>
      </c>
      <c r="G7" s="253" t="s">
        <v>2056</v>
      </c>
      <c r="H7" s="253" t="s">
        <v>2057</v>
      </c>
      <c r="I7" s="1"/>
      <c r="U7" s="114"/>
      <c r="V7" s="114"/>
      <c r="W7" s="114"/>
      <c r="X7" s="114"/>
      <c r="Y7" s="114"/>
      <c r="Z7" s="114"/>
      <c r="AA7" s="114"/>
      <c r="AB7" s="114"/>
      <c r="AC7" s="114"/>
    </row>
    <row r="8" customHeight="1" spans="1:30">
      <c r="A8" s="252"/>
      <c r="B8" s="9" t="s">
        <v>2058</v>
      </c>
      <c r="C8" s="91">
        <v>600</v>
      </c>
      <c r="D8" s="92" t="s">
        <v>2020</v>
      </c>
      <c r="F8" s="1"/>
      <c r="G8" s="1"/>
      <c r="H8" s="1"/>
      <c r="I8" s="1"/>
      <c r="M8" s="1"/>
      <c r="V8" s="114"/>
      <c r="W8" s="114"/>
      <c r="X8" s="114"/>
      <c r="Y8" s="114"/>
      <c r="Z8" s="114"/>
      <c r="AA8" s="114"/>
      <c r="AB8" s="114"/>
      <c r="AC8" s="114"/>
      <c r="AD8" s="114"/>
    </row>
    <row r="9" customHeight="1" spans="1:23">
      <c r="A9" s="252"/>
      <c r="B9" s="9" t="s">
        <v>2059</v>
      </c>
      <c r="C9" s="91">
        <v>0.2</v>
      </c>
      <c r="D9" s="9" t="s">
        <v>2060</v>
      </c>
      <c r="F9" s="106" t="s">
        <v>2022</v>
      </c>
      <c r="G9" s="1"/>
      <c r="H9" s="1"/>
      <c r="I9" s="1"/>
      <c r="J9" s="1"/>
      <c r="K9" s="1"/>
      <c r="L9" s="1"/>
      <c r="M9" s="1"/>
      <c r="U9" s="114"/>
      <c r="V9" s="114"/>
      <c r="W9" s="114"/>
    </row>
    <row r="10" customHeight="1" spans="1:15">
      <c r="A10" s="252"/>
      <c r="B10" s="9" t="s">
        <v>2061</v>
      </c>
      <c r="C10" s="91">
        <v>0.2</v>
      </c>
      <c r="D10" s="9" t="s">
        <v>1517</v>
      </c>
      <c r="F10" s="254" t="s">
        <v>2025</v>
      </c>
      <c r="G10" s="32" t="s">
        <v>2026</v>
      </c>
      <c r="H10" s="1"/>
      <c r="I10" s="1"/>
      <c r="J10" s="1"/>
      <c r="K10" s="1"/>
      <c r="L10" s="1"/>
      <c r="M10" s="1"/>
      <c r="O10" s="1"/>
    </row>
    <row r="11" customHeight="1" spans="1:13">
      <c r="A11" s="252"/>
      <c r="B11" s="9" t="s">
        <v>2021</v>
      </c>
      <c r="C11" s="91">
        <v>5</v>
      </c>
      <c r="D11" s="9"/>
      <c r="F11" s="32">
        <v>1</v>
      </c>
      <c r="G11" s="28">
        <v>1</v>
      </c>
      <c r="H11" s="1"/>
      <c r="I11" s="1"/>
      <c r="J11" s="146" t="s">
        <v>2062</v>
      </c>
      <c r="K11" s="1"/>
      <c r="L11" s="1"/>
      <c r="M11" s="1"/>
    </row>
    <row r="12" customHeight="1" spans="1:27">
      <c r="A12" s="252"/>
      <c r="B12" s="9" t="s">
        <v>2063</v>
      </c>
      <c r="C12" s="91">
        <v>2</v>
      </c>
      <c r="D12" s="92" t="s">
        <v>2064</v>
      </c>
      <c r="F12" s="32">
        <v>2</v>
      </c>
      <c r="G12" s="28">
        <v>0.81</v>
      </c>
      <c r="H12" s="1"/>
      <c r="I12" s="1"/>
      <c r="J12" s="1"/>
      <c r="K12" s="1"/>
      <c r="L12" s="1"/>
      <c r="M12" s="1"/>
      <c r="AA12" s="1"/>
    </row>
    <row r="13" customHeight="1" spans="1:27">
      <c r="A13" s="252"/>
      <c r="B13" s="9" t="s">
        <v>2023</v>
      </c>
      <c r="C13" s="91">
        <f>2*8*350*5</f>
        <v>28000</v>
      </c>
      <c r="D13" s="9" t="s">
        <v>2024</v>
      </c>
      <c r="F13" s="32">
        <v>3</v>
      </c>
      <c r="G13" s="28">
        <v>0.72</v>
      </c>
      <c r="H13" s="1"/>
      <c r="I13" s="1"/>
      <c r="J13" s="1"/>
      <c r="K13" s="1"/>
      <c r="L13" s="1"/>
      <c r="M13" s="1"/>
      <c r="AA13" s="1"/>
    </row>
    <row r="14" customHeight="1" spans="1:27">
      <c r="A14" s="255"/>
      <c r="B14" s="9" t="s">
        <v>2065</v>
      </c>
      <c r="C14" s="152">
        <f>C13*60*C11*2*C8/10^6</f>
        <v>10080</v>
      </c>
      <c r="D14" s="9" t="s">
        <v>2066</v>
      </c>
      <c r="F14" s="32">
        <v>4</v>
      </c>
      <c r="G14" s="253">
        <v>0.66</v>
      </c>
      <c r="H14" s="1"/>
      <c r="I14" s="1"/>
      <c r="J14" s="1"/>
      <c r="K14" s="1"/>
      <c r="L14" s="1"/>
      <c r="M14" s="1"/>
      <c r="AA14" s="1"/>
    </row>
    <row r="15" customHeight="1" spans="1:27">
      <c r="A15" s="100" t="s">
        <v>2067</v>
      </c>
      <c r="B15" s="9" t="s">
        <v>2028</v>
      </c>
      <c r="C15" s="32">
        <f>2*C8/1000/(60/C11-C12)*60</f>
        <v>7.2</v>
      </c>
      <c r="D15" s="9"/>
      <c r="F15" s="32">
        <v>5</v>
      </c>
      <c r="G15" s="253">
        <v>0.61</v>
      </c>
      <c r="H15" s="1"/>
      <c r="I15" s="1"/>
      <c r="J15" s="1"/>
      <c r="K15" s="1"/>
      <c r="L15" s="1"/>
      <c r="M15" s="1"/>
      <c r="AA15" s="1"/>
    </row>
    <row r="16" customHeight="1" spans="1:27">
      <c r="A16" s="101"/>
      <c r="B16" s="9" t="s">
        <v>2029</v>
      </c>
      <c r="C16" s="210">
        <v>1.2</v>
      </c>
      <c r="D16" s="9" t="s">
        <v>901</v>
      </c>
      <c r="F16" s="32" t="s">
        <v>2036</v>
      </c>
      <c r="G16" s="253">
        <v>0.6</v>
      </c>
      <c r="H16" s="1"/>
      <c r="I16" s="1"/>
      <c r="J16" s="1"/>
      <c r="K16" s="1"/>
      <c r="L16" s="1"/>
      <c r="M16" s="1"/>
      <c r="AA16" s="1"/>
    </row>
    <row r="17" customHeight="1" spans="1:27">
      <c r="A17" s="101"/>
      <c r="B17" s="9" t="s">
        <v>2030</v>
      </c>
      <c r="C17" s="91">
        <v>57</v>
      </c>
      <c r="D17" s="9" t="s">
        <v>2031</v>
      </c>
      <c r="F17" s="1"/>
      <c r="G17" s="1"/>
      <c r="H17" s="1"/>
      <c r="I17" s="1"/>
      <c r="J17" s="1"/>
      <c r="K17" s="1"/>
      <c r="L17" s="1"/>
      <c r="M17" s="1"/>
      <c r="AA17" s="1"/>
    </row>
    <row r="18" customHeight="1" spans="1:25">
      <c r="A18" s="101"/>
      <c r="B18" s="9" t="s">
        <v>2032</v>
      </c>
      <c r="C18" s="104">
        <f>IF(C17&lt;57,-0.000000029056202*C17^6+0.000007475998062*C17^5-0.000793552083205*C17^4+0.044508155269588*C17^3-1.39104856058973*C17^2+22.9720175059869*C17-156.474607500798,1)</f>
        <v>1</v>
      </c>
      <c r="D18" s="9"/>
      <c r="F18" s="1" t="s">
        <v>2068</v>
      </c>
      <c r="G18" s="1"/>
      <c r="H18" s="1"/>
      <c r="I18" s="1"/>
      <c r="J18" s="1"/>
      <c r="K18" s="1"/>
      <c r="L18" s="1"/>
      <c r="Y18" s="1"/>
    </row>
    <row r="19" customHeight="1" spans="1:25">
      <c r="A19" s="101"/>
      <c r="B19" s="9" t="s">
        <v>2033</v>
      </c>
      <c r="C19" s="109">
        <v>100</v>
      </c>
      <c r="D19" s="9" t="s">
        <v>2034</v>
      </c>
      <c r="F19" s="1"/>
      <c r="G19" s="1"/>
      <c r="H19" s="1"/>
      <c r="I19" s="1"/>
      <c r="Y19" s="1"/>
    </row>
    <row r="20" customHeight="1" spans="1:25">
      <c r="A20" s="101"/>
      <c r="B20" s="9" t="s">
        <v>2035</v>
      </c>
      <c r="C20" s="104">
        <f>IF(C19&gt;100,-0.000015869130869*C19^2+0.002670689310689*C19+0.887959740259746,1)</f>
        <v>1</v>
      </c>
      <c r="D20" s="9"/>
      <c r="F20" s="1"/>
      <c r="G20" s="1"/>
      <c r="H20" s="1"/>
      <c r="I20" s="1"/>
      <c r="Y20" s="1"/>
    </row>
    <row r="21" customHeight="1" spans="1:25">
      <c r="A21" s="101"/>
      <c r="B21" s="92" t="s">
        <v>2037</v>
      </c>
      <c r="C21" s="91">
        <v>2</v>
      </c>
      <c r="D21" s="9"/>
      <c r="F21" s="1"/>
      <c r="G21" s="1"/>
      <c r="H21" s="1"/>
      <c r="I21" s="1"/>
      <c r="Y21" s="1"/>
    </row>
    <row r="22" customHeight="1" spans="1:25">
      <c r="A22" s="110"/>
      <c r="B22" s="9" t="s">
        <v>2038</v>
      </c>
      <c r="C22" s="152">
        <f>IF(C21=1,1,IF(C21=2,0.81,IF(C21=3,0.72,IF(C21=4,0.66,IF(C21=5,0.61,IF(OR(C21=6,C21&gt;6),0.6,请填滑块数))))))</f>
        <v>0.81</v>
      </c>
      <c r="D22" s="9" t="s">
        <v>1885</v>
      </c>
      <c r="F22" s="1"/>
      <c r="G22" s="1"/>
      <c r="H22" s="1"/>
      <c r="I22" s="1"/>
      <c r="Y22" s="1"/>
    </row>
    <row r="23" customHeight="1" spans="1:25">
      <c r="A23" s="100" t="s">
        <v>2069</v>
      </c>
      <c r="B23" s="9" t="s">
        <v>1521</v>
      </c>
      <c r="C23" s="119">
        <f>2*C8/1000/(60/C11-C12-C9-C10)</f>
        <v>0.125</v>
      </c>
      <c r="D23" s="9" t="str">
        <f>ROUND(C23*1000,2)&amp;" mm/s"</f>
        <v>125 mm/s</v>
      </c>
      <c r="F23" s="1"/>
      <c r="G23" s="1"/>
      <c r="H23" s="1"/>
      <c r="I23" s="1"/>
      <c r="Y23" s="1"/>
    </row>
    <row r="24" customHeight="1" spans="1:25">
      <c r="A24" s="101"/>
      <c r="B24" s="9" t="s">
        <v>2070</v>
      </c>
      <c r="C24" s="119">
        <f>C23/C9</f>
        <v>0.625</v>
      </c>
      <c r="D24" s="9"/>
      <c r="F24" s="1"/>
      <c r="G24" s="1"/>
      <c r="H24" s="1"/>
      <c r="I24" s="1"/>
      <c r="Y24" s="1"/>
    </row>
    <row r="25" customHeight="1" spans="1:24">
      <c r="A25" s="110"/>
      <c r="B25" s="193" t="s">
        <v>2071</v>
      </c>
      <c r="C25" s="119">
        <f>C23/C10</f>
        <v>0.625</v>
      </c>
      <c r="D25" s="169"/>
      <c r="F25" s="1"/>
      <c r="G25" s="1"/>
      <c r="H25" s="1"/>
      <c r="I25" s="1"/>
      <c r="X25" s="1"/>
    </row>
    <row r="26" customHeight="1" spans="1:24">
      <c r="A26" s="100" t="s">
        <v>2072</v>
      </c>
      <c r="B26" s="193" t="s">
        <v>2073</v>
      </c>
      <c r="C26" s="91">
        <v>190</v>
      </c>
      <c r="D26" s="23" t="s">
        <v>2074</v>
      </c>
      <c r="F26" s="1"/>
      <c r="G26" s="1"/>
      <c r="H26" s="1"/>
      <c r="I26" s="1"/>
      <c r="X26" s="1"/>
    </row>
    <row r="27" customHeight="1" spans="1:24">
      <c r="A27" s="101"/>
      <c r="B27" s="193" t="s">
        <v>2075</v>
      </c>
      <c r="C27" s="91">
        <v>397.5</v>
      </c>
      <c r="D27" s="225"/>
      <c r="F27" s="1"/>
      <c r="G27" s="1"/>
      <c r="H27" s="1"/>
      <c r="I27" s="1"/>
      <c r="X27" s="1"/>
    </row>
    <row r="28" customHeight="1" spans="1:24">
      <c r="A28" s="101"/>
      <c r="B28" s="193" t="s">
        <v>2076</v>
      </c>
      <c r="C28" s="91">
        <v>25.5</v>
      </c>
      <c r="D28" s="27"/>
      <c r="F28" s="1"/>
      <c r="G28" s="1"/>
      <c r="H28" s="1"/>
      <c r="I28" s="1"/>
      <c r="X28" s="1"/>
    </row>
    <row r="29" customHeight="1" spans="1:24">
      <c r="A29" s="101"/>
      <c r="B29" s="9" t="s">
        <v>2077</v>
      </c>
      <c r="C29" s="256">
        <f>IF(C4="竖直",C6*(9.8+C24)*C27/(2*C26),IF(C4="水平",C6*9.8/4-C6*C24*C27/2/C26,"请选择布局方式"))</f>
        <v>592.751644736842</v>
      </c>
      <c r="D29" s="264" t="s">
        <v>2078</v>
      </c>
      <c r="F29" s="1"/>
      <c r="G29" s="1"/>
      <c r="H29" s="1"/>
      <c r="I29" s="1"/>
      <c r="X29" s="1"/>
    </row>
    <row r="30" customHeight="1" spans="1:24">
      <c r="A30" s="101"/>
      <c r="B30" s="9" t="s">
        <v>2079</v>
      </c>
      <c r="C30" s="256">
        <f>IF(C4="竖直",-C6*(9.8+C24)*C27/(2*C26),IF(C4="水平",C6*9.8/4+C6*C24*C27/2/C26,"请选择布局方式"))</f>
        <v>1024.24835526316</v>
      </c>
      <c r="D30" s="265"/>
      <c r="F30" s="1"/>
      <c r="G30" s="1"/>
      <c r="H30" s="1"/>
      <c r="I30" s="1"/>
      <c r="X30" s="1"/>
    </row>
    <row r="31" customHeight="1" spans="1:24">
      <c r="A31" s="101"/>
      <c r="B31" s="9" t="s">
        <v>2080</v>
      </c>
      <c r="C31" s="256">
        <f>IF(C4="竖直",C6*(9.8+C24)*C28/(2*C26),IF(C4="水平",C6*C24*C28/2/C26,"请选择布局方式"))</f>
        <v>13.8404605263158</v>
      </c>
      <c r="D31" s="265"/>
      <c r="F31" s="1"/>
      <c r="G31" s="1"/>
      <c r="H31" s="1"/>
      <c r="I31" s="1"/>
      <c r="X31" s="1"/>
    </row>
    <row r="32" customHeight="1" spans="1:24">
      <c r="A32" s="101"/>
      <c r="B32" s="9" t="s">
        <v>2081</v>
      </c>
      <c r="C32" s="256">
        <f>IF(C4="竖直",-C6*(9.8+C24)*C28/(2*C26),IF(C4="水平",-C6*C24*C28/2/C26,"请选择布局方式"))</f>
        <v>-13.8404605263158</v>
      </c>
      <c r="D32" s="266"/>
      <c r="F32" s="1"/>
      <c r="G32" s="1"/>
      <c r="H32" s="1"/>
      <c r="I32" s="1"/>
      <c r="X32" s="1"/>
    </row>
    <row r="33" customHeight="1" spans="1:25">
      <c r="A33" s="101"/>
      <c r="B33" s="9" t="s">
        <v>2082</v>
      </c>
      <c r="C33" s="267">
        <f>IF(C4="竖直",-C6*(9.8-C25)*C27/(2*C26),IF(C4="水平",C6*9.8/4+C6*C25*C27/2/C26,"请选择布局方式"))</f>
        <v>1024.24835526316</v>
      </c>
      <c r="D33" s="268" t="s">
        <v>2083</v>
      </c>
      <c r="F33" s="1"/>
      <c r="G33" s="1"/>
      <c r="H33" s="1"/>
      <c r="I33" s="1"/>
      <c r="Y33" s="1"/>
    </row>
    <row r="34" customHeight="1" spans="1:29">
      <c r="A34" s="101"/>
      <c r="B34" s="9" t="s">
        <v>2084</v>
      </c>
      <c r="C34" s="267">
        <f>IF(C4="竖直",C6*(9.8-C25)*C27/(2*C26),IF(C4="水平",C6*9.8/4-C6*C25*C27/2/C26,"请选择布局方式"))</f>
        <v>592.751644736842</v>
      </c>
      <c r="D34" s="269"/>
      <c r="F34" s="1"/>
      <c r="G34" s="1"/>
      <c r="H34" s="1"/>
      <c r="I34" s="1"/>
      <c r="AC34" s="1"/>
    </row>
    <row r="35" customHeight="1" spans="1:29">
      <c r="A35" s="101"/>
      <c r="B35" s="9" t="s">
        <v>2085</v>
      </c>
      <c r="C35" s="267">
        <f>IF(C4="竖直",C6*(9.8-C25)*C28/(2*C26),IF(C4="水平",-C6*C25*C28/2/C26,"请选择布局方式"))</f>
        <v>-13.8404605263158</v>
      </c>
      <c r="D35" s="269"/>
      <c r="F35" s="1"/>
      <c r="G35" s="1"/>
      <c r="H35" s="1"/>
      <c r="I35" s="1"/>
      <c r="AC35" s="1"/>
    </row>
    <row r="36" customHeight="1" spans="1:29">
      <c r="A36" s="101"/>
      <c r="B36" s="9" t="s">
        <v>2086</v>
      </c>
      <c r="C36" s="267">
        <f>IF(C4="竖直",-C6*(9.8-C25)*C28/(2*C26),IF(C4="水平",C6*C25*C28/2/C26,"请选择布局方式"))</f>
        <v>13.8404605263158</v>
      </c>
      <c r="D36" s="270"/>
      <c r="F36" s="1"/>
      <c r="G36" s="1"/>
      <c r="H36" s="1"/>
      <c r="I36" s="1"/>
      <c r="AC36" s="1"/>
    </row>
    <row r="37" customHeight="1" spans="1:29">
      <c r="A37" s="110"/>
      <c r="B37" s="9" t="s">
        <v>2087</v>
      </c>
      <c r="C37" s="104">
        <f>MAX(C29,C31,C30,C32,C33,C34,C35,C36)</f>
        <v>1024.24835526316</v>
      </c>
      <c r="D37" s="9" t="s">
        <v>2088</v>
      </c>
      <c r="F37" s="1"/>
      <c r="G37" s="1"/>
      <c r="H37" s="1"/>
      <c r="I37" s="1"/>
      <c r="AC37" s="1"/>
    </row>
    <row r="38" customHeight="1" spans="1:29">
      <c r="A38" s="100" t="s">
        <v>2089</v>
      </c>
      <c r="B38" s="9" t="s">
        <v>2043</v>
      </c>
      <c r="C38" s="259">
        <f>IF(C5="滚珠",C37*C16/(C18*C20*C22)*(C14/50)^(1/3),IF(C5="滚柱",C37*C16/(C18*C20*C22)*(C14/100)^(3/10),IF(C5="免润滑",C37*C16*(C14/50)^(1/1.57),"请选择滚动体类型")))</f>
        <v>8897.43884550156</v>
      </c>
      <c r="D38" s="90" t="s">
        <v>2044</v>
      </c>
      <c r="F38" s="1"/>
      <c r="G38" s="1"/>
      <c r="H38" s="1"/>
      <c r="I38" s="1"/>
      <c r="AC38" s="1"/>
    </row>
    <row r="39" customHeight="1" spans="1:29">
      <c r="A39" s="110"/>
      <c r="B39" s="92" t="s">
        <v>2045</v>
      </c>
      <c r="C39" s="260"/>
      <c r="D39" s="202"/>
      <c r="F39" s="1"/>
      <c r="G39" s="1"/>
      <c r="H39" s="1"/>
      <c r="I39" s="1"/>
      <c r="AC39" s="1"/>
    </row>
    <row r="40" customHeight="1" spans="6:29">
      <c r="F40" s="1"/>
      <c r="G40" s="1"/>
      <c r="H40" s="1"/>
      <c r="I40" s="1"/>
      <c r="X40" s="1"/>
      <c r="AC40" s="1"/>
    </row>
    <row r="41" customHeight="1" spans="1:29">
      <c r="A41" s="131" t="s">
        <v>2090</v>
      </c>
      <c r="B41" s="132"/>
      <c r="C41" s="132"/>
      <c r="D41" s="133"/>
      <c r="F41" s="1"/>
      <c r="G41" s="1"/>
      <c r="H41" s="1"/>
      <c r="I41" s="1"/>
      <c r="X41" s="1"/>
      <c r="AC41" s="1"/>
    </row>
    <row r="42" customHeight="1" spans="1:29">
      <c r="A42" s="134"/>
      <c r="B42" s="135"/>
      <c r="C42" s="135"/>
      <c r="D42" s="136"/>
      <c r="F42" s="1"/>
      <c r="G42" s="1"/>
      <c r="H42" s="1"/>
      <c r="I42" s="1"/>
      <c r="X42" s="1"/>
      <c r="AC42" s="1"/>
    </row>
    <row r="43" customHeight="1" spans="1:29">
      <c r="A43" s="134"/>
      <c r="B43" s="135"/>
      <c r="C43" s="135"/>
      <c r="D43" s="136"/>
      <c r="F43" s="1"/>
      <c r="G43" s="1"/>
      <c r="H43" s="1"/>
      <c r="I43" s="1"/>
      <c r="AC43" s="1"/>
    </row>
    <row r="44" customHeight="1" spans="1:29">
      <c r="A44" s="134"/>
      <c r="B44" s="135"/>
      <c r="C44" s="135"/>
      <c r="D44" s="136"/>
      <c r="F44" s="1"/>
      <c r="G44" s="1"/>
      <c r="H44" s="1"/>
      <c r="I44" s="1"/>
      <c r="AC44" s="1"/>
    </row>
    <row r="45" customHeight="1" spans="1:29">
      <c r="A45" s="134"/>
      <c r="B45" s="135"/>
      <c r="C45" s="135"/>
      <c r="D45" s="136"/>
      <c r="F45" s="1"/>
      <c r="G45" s="1"/>
      <c r="H45" s="1"/>
      <c r="I45" s="1"/>
      <c r="AC45" s="1"/>
    </row>
    <row r="46" customHeight="1" spans="1:9">
      <c r="A46" s="134"/>
      <c r="B46" s="135"/>
      <c r="C46" s="135"/>
      <c r="D46" s="136"/>
      <c r="F46" s="1"/>
      <c r="G46" s="1"/>
      <c r="H46" s="1"/>
      <c r="I46" s="1"/>
    </row>
    <row r="47" customHeight="1" spans="1:9">
      <c r="A47" s="134"/>
      <c r="B47" s="135"/>
      <c r="C47" s="135"/>
      <c r="D47" s="136"/>
      <c r="F47" s="1"/>
      <c r="G47" s="1"/>
      <c r="H47" s="1"/>
      <c r="I47" s="1"/>
    </row>
    <row r="48" customHeight="1" spans="1:9">
      <c r="A48" s="134"/>
      <c r="B48" s="135"/>
      <c r="C48" s="135"/>
      <c r="D48" s="136"/>
      <c r="F48" s="1"/>
      <c r="G48" s="1"/>
      <c r="H48" s="1"/>
      <c r="I48" s="1"/>
    </row>
    <row r="49" customHeight="1" spans="1:29">
      <c r="A49" s="261"/>
      <c r="B49" s="262"/>
      <c r="C49" s="262"/>
      <c r="D49" s="263"/>
      <c r="F49" s="1"/>
      <c r="G49" s="1"/>
      <c r="H49" s="1"/>
      <c r="I49" s="1"/>
      <c r="AC49" s="1"/>
    </row>
    <row r="50" customHeight="1" spans="1:29">
      <c r="A50" s="240" t="s">
        <v>2091</v>
      </c>
      <c r="B50" s="241"/>
      <c r="C50" s="241"/>
      <c r="D50" s="242"/>
      <c r="F50" s="1"/>
      <c r="G50" s="1"/>
      <c r="H50" s="1"/>
      <c r="I50" s="1"/>
      <c r="AC50" s="1"/>
    </row>
    <row r="51" customHeight="1" spans="1:29">
      <c r="A51" s="243"/>
      <c r="B51" s="244"/>
      <c r="C51" s="244"/>
      <c r="D51" s="245"/>
      <c r="F51" s="82" t="s">
        <v>2092</v>
      </c>
      <c r="G51" s="209"/>
      <c r="AC51" s="1"/>
    </row>
    <row r="52" customHeight="1" spans="1:29">
      <c r="A52" s="243"/>
      <c r="B52" s="244"/>
      <c r="C52" s="244"/>
      <c r="D52" s="245"/>
      <c r="G52" s="209"/>
      <c r="AC52" s="1"/>
    </row>
    <row r="53" customHeight="1" spans="1:29">
      <c r="A53" s="246"/>
      <c r="B53" s="247"/>
      <c r="C53" s="247"/>
      <c r="D53" s="248"/>
      <c r="G53" s="209"/>
      <c r="M53" s="1"/>
      <c r="AC53" s="1"/>
    </row>
    <row r="54" customHeight="1" spans="1:29">
      <c r="A54" s="106" t="s">
        <v>2048</v>
      </c>
      <c r="F54" s="1"/>
      <c r="G54" s="1"/>
      <c r="H54" s="1"/>
      <c r="I54" s="1"/>
      <c r="J54" s="1"/>
      <c r="K54" s="1"/>
      <c r="L54" s="1"/>
      <c r="M54" s="1"/>
      <c r="AC54" s="1"/>
    </row>
    <row r="55" customHeight="1" spans="6:29">
      <c r="F55" s="1"/>
      <c r="G55" s="1"/>
      <c r="H55" s="1"/>
      <c r="I55" s="1"/>
      <c r="J55" s="1"/>
      <c r="K55" s="1"/>
      <c r="L55" s="1"/>
      <c r="M55" s="1"/>
      <c r="AC55" s="1"/>
    </row>
    <row r="56" customHeight="1" spans="6:29">
      <c r="F56" s="1"/>
      <c r="G56" s="1"/>
      <c r="H56" s="1"/>
      <c r="I56" s="1"/>
      <c r="J56" s="1"/>
      <c r="K56" s="1"/>
      <c r="L56" s="1"/>
      <c r="M56" s="1"/>
      <c r="AC56" s="1"/>
    </row>
    <row r="57" customHeight="1" spans="6:29">
      <c r="F57" s="1"/>
      <c r="G57" s="1"/>
      <c r="H57" s="1"/>
      <c r="I57" s="1"/>
      <c r="J57" s="1"/>
      <c r="K57" s="1"/>
      <c r="L57" s="1"/>
      <c r="M57" s="1"/>
      <c r="AC57" s="1"/>
    </row>
    <row r="58" customHeight="1" spans="6:29">
      <c r="F58" s="1"/>
      <c r="G58" s="1"/>
      <c r="H58" s="1"/>
      <c r="I58" s="1"/>
      <c r="J58" s="1"/>
      <c r="K58" s="1"/>
      <c r="L58" s="1"/>
      <c r="M58" s="1"/>
      <c r="AC58" s="1"/>
    </row>
    <row r="59" customHeight="1" spans="6:29">
      <c r="F59" s="1"/>
      <c r="G59" s="1"/>
      <c r="H59" s="1"/>
      <c r="I59" s="1"/>
      <c r="J59" s="222"/>
      <c r="K59" s="1"/>
      <c r="L59" s="1"/>
      <c r="M59" s="1"/>
      <c r="AC59" s="1"/>
    </row>
    <row r="60" customHeight="1" spans="6:29">
      <c r="F60" s="1"/>
      <c r="G60" s="1"/>
      <c r="H60" s="1"/>
      <c r="I60" s="1"/>
      <c r="J60" s="222"/>
      <c r="K60" s="1"/>
      <c r="L60" s="1"/>
      <c r="M60" s="1"/>
      <c r="AC60" s="1"/>
    </row>
    <row r="61" customHeight="1" spans="6:29">
      <c r="F61" s="1"/>
      <c r="G61" s="1"/>
      <c r="H61" s="1"/>
      <c r="I61" s="1"/>
      <c r="J61" s="222"/>
      <c r="K61" s="1"/>
      <c r="L61" s="1"/>
      <c r="M61" s="1"/>
      <c r="AC61" s="1"/>
    </row>
    <row r="62" customHeight="1" spans="9:29">
      <c r="I62" s="1"/>
      <c r="J62" s="222"/>
      <c r="K62" s="1"/>
      <c r="L62" s="1"/>
      <c r="M62" s="1"/>
      <c r="AC62" s="1"/>
    </row>
    <row r="63" customHeight="1" spans="9:29">
      <c r="I63" s="222"/>
      <c r="J63" s="222"/>
      <c r="K63" s="1"/>
      <c r="L63" s="1"/>
      <c r="M63" s="1"/>
      <c r="AC63" s="1"/>
    </row>
    <row r="64" customHeight="1" spans="10:29">
      <c r="J64" s="1"/>
      <c r="K64" s="1"/>
      <c r="L64" s="1"/>
      <c r="M64" s="1"/>
      <c r="AC64" s="1"/>
    </row>
    <row r="65" customHeight="1" spans="1:29">
      <c r="A65" s="82" t="s">
        <v>2093</v>
      </c>
      <c r="J65" s="1"/>
      <c r="K65" s="1"/>
      <c r="L65" s="1"/>
      <c r="M65" s="1"/>
      <c r="AC65" s="1"/>
    </row>
    <row r="66" customHeight="1" spans="6:29">
      <c r="F66" s="1"/>
      <c r="G66" s="1"/>
      <c r="H66" s="1"/>
      <c r="I66" s="1"/>
      <c r="J66" s="1"/>
      <c r="K66" s="1"/>
      <c r="L66" s="1"/>
      <c r="M66" s="1"/>
      <c r="AC66" s="1"/>
    </row>
    <row r="67" customHeight="1" spans="6:13">
      <c r="F67" s="1"/>
      <c r="G67" s="1"/>
      <c r="H67" s="1"/>
      <c r="I67" s="1"/>
      <c r="J67" s="1"/>
      <c r="K67" s="1"/>
      <c r="L67" s="1"/>
      <c r="M67" s="1"/>
    </row>
    <row r="68" customHeight="1" spans="6:13">
      <c r="F68" s="1"/>
      <c r="G68" s="1"/>
      <c r="H68" s="1"/>
      <c r="I68" s="1"/>
      <c r="J68" s="1"/>
      <c r="K68" s="1"/>
      <c r="L68" s="1"/>
      <c r="M68" s="1"/>
    </row>
    <row r="69" customHeight="1" spans="6:13">
      <c r="F69" s="1"/>
      <c r="G69" s="1"/>
      <c r="H69" s="1"/>
      <c r="I69" s="1"/>
      <c r="J69" s="1"/>
      <c r="K69" s="1"/>
      <c r="L69" s="1"/>
      <c r="M69" s="1"/>
    </row>
    <row r="70" customHeight="1" spans="1:13">
      <c r="A70" s="82" t="s">
        <v>2094</v>
      </c>
      <c r="F70" s="1"/>
      <c r="G70" s="1"/>
      <c r="H70" s="1"/>
      <c r="I70" s="1"/>
      <c r="J70" s="1"/>
      <c r="K70" s="1"/>
      <c r="L70" s="1"/>
      <c r="M70" s="1"/>
    </row>
    <row r="71" customHeight="1" spans="10:13">
      <c r="J71" s="1"/>
      <c r="K71" s="1"/>
      <c r="L71" s="1"/>
      <c r="M71" s="1"/>
    </row>
    <row r="72" customHeight="1" spans="10:13">
      <c r="J72" s="1"/>
      <c r="K72" s="1"/>
      <c r="L72" s="1"/>
      <c r="M72" s="1"/>
    </row>
    <row r="73" customHeight="1" spans="10:12">
      <c r="J73" s="1"/>
      <c r="K73" s="1"/>
      <c r="L73" s="1"/>
    </row>
    <row r="74" customHeight="1" spans="10:11">
      <c r="J74" s="1"/>
      <c r="K74" s="1"/>
    </row>
    <row r="75" customHeight="1" spans="10:11">
      <c r="J75" s="1"/>
      <c r="K75" s="1"/>
    </row>
    <row r="76" customHeight="1" spans="10:11">
      <c r="J76" s="1"/>
      <c r="K76" s="1"/>
    </row>
    <row r="77" customHeight="1" spans="11:11">
      <c r="K77" s="1"/>
    </row>
  </sheetData>
  <customSheetViews>
    <customSheetView guid="{27B96A40-A6B2-43F7-A93C-713F4207CB2A}">
      <selection activeCell="P7" sqref="P7"/>
      <pageMargins left="0.7" right="0.7" top="0.75" bottom="0.75" header="0.3" footer="0.3"/>
      <pageSetup paperSize="9" orientation="portrait"/>
      <headerFooter/>
    </customSheetView>
  </customSheetViews>
  <mergeCells count="11">
    <mergeCell ref="A1:D1"/>
    <mergeCell ref="A4:A14"/>
    <mergeCell ref="A15:A22"/>
    <mergeCell ref="A23:A25"/>
    <mergeCell ref="A26:A37"/>
    <mergeCell ref="A38:A39"/>
    <mergeCell ref="D29:D32"/>
    <mergeCell ref="D33:D36"/>
    <mergeCell ref="D38:D39"/>
    <mergeCell ref="A50:D53"/>
    <mergeCell ref="A41:D49"/>
  </mergeCells>
  <dataValidations count="2">
    <dataValidation type="list" allowBlank="1" showInputMessage="1" showErrorMessage="1" prompt="请选择" sqref="C4">
      <formula1>"水平,竖直"</formula1>
    </dataValidation>
    <dataValidation type="list" allowBlank="1" showInputMessage="1" showErrorMessage="1" prompt="请选择" sqref="C5">
      <formula1>"滚珠,滚柱,免润滑"</formula1>
    </dataValidation>
  </dataValidations>
  <pageMargins left="0.7" right="0.7" top="0.75" bottom="0.75" header="0.3" footer="0.3"/>
  <pageSetup paperSize="9" orientation="portrait"/>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77"/>
  <sheetViews>
    <sheetView workbookViewId="0">
      <selection activeCell="A34" sqref="A34:D42"/>
    </sheetView>
  </sheetViews>
  <sheetFormatPr defaultColWidth="15.625" defaultRowHeight="20.1" customHeight="1"/>
  <cols>
    <col min="1" max="1" width="13.375" style="82" customWidth="1"/>
    <col min="2" max="2" width="20" style="82" customWidth="1"/>
    <col min="3" max="3" width="13.875" style="83" customWidth="1"/>
    <col min="4" max="4" width="17.5" style="82" customWidth="1"/>
    <col min="5" max="5" width="5" style="82" customWidth="1"/>
    <col min="6" max="6" width="14.375" style="82" customWidth="1"/>
    <col min="7" max="7" width="13.25" style="82" customWidth="1"/>
    <col min="8" max="10" width="10.625" style="82" customWidth="1"/>
    <col min="11" max="11" width="8.875" style="82" customWidth="1"/>
    <col min="12" max="12" width="7.625" style="82" customWidth="1"/>
    <col min="13" max="13" width="7.125" style="82" customWidth="1"/>
    <col min="14" max="15" width="8.5" style="82" customWidth="1"/>
    <col min="16" max="20" width="10.625" style="82" customWidth="1"/>
    <col min="21" max="27" width="8.625" style="82" customWidth="1"/>
    <col min="28" max="16384" width="15.625" style="82"/>
  </cols>
  <sheetData>
    <row r="1" ht="21.95" customHeight="1" spans="1:8">
      <c r="A1" s="249" t="s">
        <v>2095</v>
      </c>
      <c r="B1" s="250"/>
      <c r="C1" s="250"/>
      <c r="D1" s="250"/>
      <c r="F1" s="146"/>
      <c r="G1" s="1"/>
      <c r="H1" s="1"/>
    </row>
    <row r="2" customHeight="1" spans="1:30">
      <c r="A2" s="106" t="s">
        <v>2002</v>
      </c>
      <c r="F2" s="146" t="s">
        <v>2003</v>
      </c>
      <c r="G2" s="1"/>
      <c r="H2" s="1"/>
      <c r="I2" s="1"/>
      <c r="J2" s="106" t="s">
        <v>2051</v>
      </c>
      <c r="R2" s="114"/>
      <c r="S2" s="114"/>
      <c r="T2" s="114"/>
      <c r="V2" s="115"/>
      <c r="W2" s="115"/>
      <c r="X2" s="115"/>
      <c r="Y2" s="115"/>
      <c r="Z2" s="115"/>
      <c r="AA2" s="115"/>
      <c r="AB2" s="115"/>
      <c r="AC2" s="115"/>
      <c r="AD2" s="115"/>
    </row>
    <row r="3" customHeight="1" spans="1:30">
      <c r="A3" s="9" t="s">
        <v>269</v>
      </c>
      <c r="B3" s="9" t="s">
        <v>270</v>
      </c>
      <c r="C3" s="32" t="s">
        <v>271</v>
      </c>
      <c r="D3" s="9" t="s">
        <v>272</v>
      </c>
      <c r="F3" s="92" t="s">
        <v>2052</v>
      </c>
      <c r="G3" s="9" t="s">
        <v>2005</v>
      </c>
      <c r="H3" s="9" t="s">
        <v>2006</v>
      </c>
      <c r="I3" s="1"/>
      <c r="T3" s="114"/>
      <c r="V3" s="115"/>
      <c r="W3" s="115"/>
      <c r="X3" s="115"/>
      <c r="Y3" s="115"/>
      <c r="Z3" s="115"/>
      <c r="AA3" s="115"/>
      <c r="AB3" s="115"/>
      <c r="AC3" s="115"/>
      <c r="AD3" s="115"/>
    </row>
    <row r="4" customHeight="1" spans="1:30">
      <c r="A4" s="251" t="s">
        <v>1083</v>
      </c>
      <c r="B4" s="92" t="s">
        <v>2053</v>
      </c>
      <c r="C4" s="151" t="s">
        <v>1653</v>
      </c>
      <c r="D4" s="9" t="s">
        <v>1885</v>
      </c>
      <c r="F4" s="92" t="s">
        <v>2054</v>
      </c>
      <c r="G4" s="28" t="s">
        <v>2010</v>
      </c>
      <c r="H4" s="28" t="s">
        <v>263</v>
      </c>
      <c r="I4" s="1"/>
      <c r="T4" s="114"/>
      <c r="W4" s="1"/>
      <c r="X4" s="1"/>
      <c r="Y4" s="1"/>
      <c r="Z4" s="1"/>
      <c r="AA4" s="1"/>
      <c r="AB4" s="1"/>
      <c r="AC4" s="1"/>
      <c r="AD4" s="1"/>
    </row>
    <row r="5" customHeight="1" spans="1:31">
      <c r="A5" s="252"/>
      <c r="B5" s="92" t="s">
        <v>2007</v>
      </c>
      <c r="C5" s="151" t="s">
        <v>2008</v>
      </c>
      <c r="D5" s="9"/>
      <c r="F5" s="92" t="s">
        <v>568</v>
      </c>
      <c r="G5" s="28" t="s">
        <v>2013</v>
      </c>
      <c r="H5" s="28" t="s">
        <v>943</v>
      </c>
      <c r="I5" s="1"/>
      <c r="T5" s="114"/>
      <c r="W5" s="114"/>
      <c r="X5" s="114"/>
      <c r="Y5" s="114"/>
      <c r="Z5" s="114"/>
      <c r="AA5" s="114"/>
      <c r="AB5" s="114"/>
      <c r="AC5" s="114"/>
      <c r="AD5" s="114"/>
      <c r="AE5" s="1"/>
    </row>
    <row r="6" customHeight="1" spans="1:31">
      <c r="A6" s="252"/>
      <c r="B6" s="9" t="s">
        <v>1777</v>
      </c>
      <c r="C6" s="91">
        <v>5</v>
      </c>
      <c r="D6" s="9"/>
      <c r="F6" s="92" t="s">
        <v>860</v>
      </c>
      <c r="G6" s="253" t="s">
        <v>2055</v>
      </c>
      <c r="H6" s="253" t="s">
        <v>2014</v>
      </c>
      <c r="I6" s="1"/>
      <c r="T6" s="114"/>
      <c r="W6" s="114"/>
      <c r="X6" s="114"/>
      <c r="Y6" s="114"/>
      <c r="Z6" s="114"/>
      <c r="AE6" s="114"/>
    </row>
    <row r="7" customHeight="1" spans="1:29">
      <c r="A7" s="252"/>
      <c r="B7" s="9" t="s">
        <v>2015</v>
      </c>
      <c r="C7" s="91">
        <v>2</v>
      </c>
      <c r="D7" s="92"/>
      <c r="F7" s="92" t="s">
        <v>570</v>
      </c>
      <c r="G7" s="253" t="s">
        <v>2056</v>
      </c>
      <c r="H7" s="253" t="s">
        <v>2057</v>
      </c>
      <c r="I7" s="1"/>
      <c r="U7" s="114"/>
      <c r="V7" s="114"/>
      <c r="W7" s="114"/>
      <c r="X7" s="114"/>
      <c r="Y7" s="114"/>
      <c r="Z7" s="114"/>
      <c r="AA7" s="114"/>
      <c r="AB7" s="114"/>
      <c r="AC7" s="114"/>
    </row>
    <row r="8" customHeight="1" spans="1:30">
      <c r="A8" s="252"/>
      <c r="B8" s="9" t="s">
        <v>2058</v>
      </c>
      <c r="C8" s="91">
        <v>600</v>
      </c>
      <c r="D8" s="92" t="s">
        <v>2020</v>
      </c>
      <c r="F8" s="1"/>
      <c r="G8" s="1"/>
      <c r="H8" s="1"/>
      <c r="I8" s="1"/>
      <c r="M8" s="1"/>
      <c r="V8" s="114"/>
      <c r="W8" s="114"/>
      <c r="X8" s="114"/>
      <c r="Y8" s="114"/>
      <c r="Z8" s="114"/>
      <c r="AA8" s="114"/>
      <c r="AB8" s="114"/>
      <c r="AC8" s="114"/>
      <c r="AD8" s="114"/>
    </row>
    <row r="9" customHeight="1" spans="1:23">
      <c r="A9" s="252"/>
      <c r="B9" s="9" t="s">
        <v>2059</v>
      </c>
      <c r="C9" s="91">
        <v>0.2</v>
      </c>
      <c r="D9" s="9" t="s">
        <v>2060</v>
      </c>
      <c r="F9" s="106" t="s">
        <v>2022</v>
      </c>
      <c r="G9" s="1"/>
      <c r="H9" s="1"/>
      <c r="I9" s="1"/>
      <c r="J9" s="1"/>
      <c r="K9" s="1"/>
      <c r="L9" s="1"/>
      <c r="M9" s="1"/>
      <c r="U9" s="114"/>
      <c r="V9" s="114"/>
      <c r="W9" s="114"/>
    </row>
    <row r="10" customHeight="1" spans="1:15">
      <c r="A10" s="252"/>
      <c r="B10" s="9" t="s">
        <v>2061</v>
      </c>
      <c r="C10" s="91">
        <v>0.2</v>
      </c>
      <c r="D10" s="9" t="s">
        <v>1517</v>
      </c>
      <c r="F10" s="254" t="s">
        <v>2025</v>
      </c>
      <c r="G10" s="32" t="s">
        <v>2026</v>
      </c>
      <c r="H10" s="1"/>
      <c r="I10" s="1"/>
      <c r="J10" s="1"/>
      <c r="K10" s="1"/>
      <c r="L10" s="1"/>
      <c r="M10" s="1"/>
      <c r="O10" s="1"/>
    </row>
    <row r="11" customHeight="1" spans="1:13">
      <c r="A11" s="252"/>
      <c r="B11" s="9" t="s">
        <v>2021</v>
      </c>
      <c r="C11" s="91">
        <v>15</v>
      </c>
      <c r="D11" s="9"/>
      <c r="F11" s="32">
        <v>1</v>
      </c>
      <c r="G11" s="28">
        <v>1</v>
      </c>
      <c r="H11" s="1"/>
      <c r="I11" s="1"/>
      <c r="J11" s="146" t="s">
        <v>2062</v>
      </c>
      <c r="K11" s="1"/>
      <c r="L11" s="1"/>
      <c r="M11" s="1"/>
    </row>
    <row r="12" customHeight="1" spans="1:27">
      <c r="A12" s="252"/>
      <c r="B12" s="9" t="s">
        <v>2063</v>
      </c>
      <c r="C12" s="91">
        <v>2</v>
      </c>
      <c r="D12" s="92" t="s">
        <v>2064</v>
      </c>
      <c r="F12" s="32">
        <v>2</v>
      </c>
      <c r="G12" s="28">
        <v>0.81</v>
      </c>
      <c r="H12" s="1"/>
      <c r="I12" s="1"/>
      <c r="J12" s="1"/>
      <c r="K12" s="1"/>
      <c r="L12" s="1"/>
      <c r="M12" s="1"/>
      <c r="AA12" s="1"/>
    </row>
    <row r="13" customHeight="1" spans="1:27">
      <c r="A13" s="252"/>
      <c r="B13" s="9" t="s">
        <v>2023</v>
      </c>
      <c r="C13" s="91">
        <f>2*8*350*5</f>
        <v>28000</v>
      </c>
      <c r="D13" s="9" t="s">
        <v>2024</v>
      </c>
      <c r="F13" s="32">
        <v>3</v>
      </c>
      <c r="G13" s="28">
        <v>0.72</v>
      </c>
      <c r="H13" s="1"/>
      <c r="I13" s="1"/>
      <c r="J13" s="1"/>
      <c r="K13" s="1"/>
      <c r="L13" s="1"/>
      <c r="M13" s="1"/>
      <c r="AA13" s="1"/>
    </row>
    <row r="14" customHeight="1" spans="1:27">
      <c r="A14" s="255"/>
      <c r="B14" s="9" t="s">
        <v>2065</v>
      </c>
      <c r="C14" s="152">
        <f>C13*60*C11*2*C8/10^6</f>
        <v>30240</v>
      </c>
      <c r="D14" s="9" t="s">
        <v>2066</v>
      </c>
      <c r="F14" s="32">
        <v>4</v>
      </c>
      <c r="G14" s="253">
        <v>0.66</v>
      </c>
      <c r="H14" s="1"/>
      <c r="I14" s="1"/>
      <c r="J14" s="1"/>
      <c r="K14" s="1"/>
      <c r="L14" s="1"/>
      <c r="M14" s="1"/>
      <c r="AA14" s="1"/>
    </row>
    <row r="15" customHeight="1" spans="1:27">
      <c r="A15" s="100" t="s">
        <v>2067</v>
      </c>
      <c r="B15" s="9" t="s">
        <v>2028</v>
      </c>
      <c r="C15" s="32">
        <f>2*C8/1000/(60/C11-C12)*60</f>
        <v>36</v>
      </c>
      <c r="D15" s="9"/>
      <c r="F15" s="32">
        <v>5</v>
      </c>
      <c r="G15" s="253">
        <v>0.61</v>
      </c>
      <c r="H15" s="1"/>
      <c r="I15" s="1"/>
      <c r="J15" s="1"/>
      <c r="K15" s="1"/>
      <c r="L15" s="1"/>
      <c r="M15" s="1"/>
      <c r="AA15" s="1"/>
    </row>
    <row r="16" customHeight="1" spans="1:27">
      <c r="A16" s="101"/>
      <c r="B16" s="9" t="s">
        <v>2029</v>
      </c>
      <c r="C16" s="210">
        <v>1.2</v>
      </c>
      <c r="D16" s="9" t="s">
        <v>901</v>
      </c>
      <c r="F16" s="32" t="s">
        <v>2036</v>
      </c>
      <c r="G16" s="253">
        <v>0.6</v>
      </c>
      <c r="H16" s="1"/>
      <c r="I16" s="1"/>
      <c r="J16" s="1"/>
      <c r="K16" s="1"/>
      <c r="L16" s="1"/>
      <c r="M16" s="1"/>
      <c r="AA16" s="1"/>
    </row>
    <row r="17" customHeight="1" spans="1:27">
      <c r="A17" s="101"/>
      <c r="B17" s="9" t="s">
        <v>2030</v>
      </c>
      <c r="C17" s="91">
        <v>57</v>
      </c>
      <c r="D17" s="9" t="s">
        <v>2031</v>
      </c>
      <c r="F17" s="1"/>
      <c r="G17" s="1"/>
      <c r="H17" s="1"/>
      <c r="I17" s="1"/>
      <c r="J17" s="1"/>
      <c r="K17" s="1"/>
      <c r="L17" s="1"/>
      <c r="M17" s="1"/>
      <c r="AA17" s="1"/>
    </row>
    <row r="18" customHeight="1" spans="1:25">
      <c r="A18" s="101"/>
      <c r="B18" s="9" t="s">
        <v>2032</v>
      </c>
      <c r="C18" s="104">
        <f>IF(C17&lt;57,-0.000000029056202*C17^6+0.000007475998062*C17^5-0.000793552083205*C17^4+0.044508155269588*C17^3-1.39104856058973*C17^2+22.9720175059869*C17-156.474607500798,1)</f>
        <v>1</v>
      </c>
      <c r="D18" s="9"/>
      <c r="F18" s="1" t="s">
        <v>2068</v>
      </c>
      <c r="G18" s="1"/>
      <c r="H18" s="1"/>
      <c r="I18" s="1"/>
      <c r="J18" s="1"/>
      <c r="K18" s="1"/>
      <c r="L18" s="1"/>
      <c r="Y18" s="1"/>
    </row>
    <row r="19" customHeight="1" spans="1:25">
      <c r="A19" s="101"/>
      <c r="B19" s="9" t="s">
        <v>2033</v>
      </c>
      <c r="C19" s="109">
        <v>100</v>
      </c>
      <c r="D19" s="9" t="s">
        <v>2034</v>
      </c>
      <c r="F19" s="1"/>
      <c r="G19" s="1"/>
      <c r="H19" s="1"/>
      <c r="I19" s="1"/>
      <c r="Y19" s="1"/>
    </row>
    <row r="20" customHeight="1" spans="1:25">
      <c r="A20" s="101"/>
      <c r="B20" s="9" t="s">
        <v>2035</v>
      </c>
      <c r="C20" s="104">
        <f>IF(C19&gt;100,-0.000015869130869*C19^2+0.002670689310689*C19+0.887959740259746,1)</f>
        <v>1</v>
      </c>
      <c r="D20" s="9"/>
      <c r="F20" s="1"/>
      <c r="G20" s="1"/>
      <c r="H20" s="1"/>
      <c r="I20" s="1"/>
      <c r="Y20" s="1"/>
    </row>
    <row r="21" customHeight="1" spans="1:25">
      <c r="A21" s="101"/>
      <c r="B21" s="92" t="s">
        <v>2037</v>
      </c>
      <c r="C21" s="91">
        <v>2</v>
      </c>
      <c r="D21" s="9"/>
      <c r="F21" s="1"/>
      <c r="G21" s="1"/>
      <c r="H21" s="1"/>
      <c r="I21" s="1"/>
      <c r="Y21" s="1"/>
    </row>
    <row r="22" customHeight="1" spans="1:25">
      <c r="A22" s="110"/>
      <c r="B22" s="9" t="s">
        <v>2038</v>
      </c>
      <c r="C22" s="152">
        <f>IF(C21=1,1,IF(C21=2,0.81,IF(C21=3,0.72,IF(C21=4,0.66,IF(C21=5,0.61,IF(OR(C21=6,C21&gt;6),0.6,请填滑块数))))))</f>
        <v>0.81</v>
      </c>
      <c r="D22" s="9" t="s">
        <v>1885</v>
      </c>
      <c r="F22" s="1"/>
      <c r="G22" s="1"/>
      <c r="H22" s="1"/>
      <c r="I22" s="1"/>
      <c r="Y22" s="1"/>
    </row>
    <row r="23" customHeight="1" spans="1:25">
      <c r="A23" s="126" t="s">
        <v>2069</v>
      </c>
      <c r="B23" s="9" t="s">
        <v>1521</v>
      </c>
      <c r="C23" s="119">
        <f>2*C8/1000/(60/C11-C12-C9-C10)</f>
        <v>0.75</v>
      </c>
      <c r="D23" s="9" t="str">
        <f>ROUND(C23*1000,2)&amp;" mm/s"</f>
        <v>750 mm/s</v>
      </c>
      <c r="F23" s="1"/>
      <c r="G23" s="1"/>
      <c r="H23" s="1"/>
      <c r="I23" s="1"/>
      <c r="Y23" s="1"/>
    </row>
    <row r="24" customHeight="1" spans="1:25">
      <c r="A24" s="122"/>
      <c r="B24" s="9" t="s">
        <v>2070</v>
      </c>
      <c r="C24" s="119">
        <f>C23/C9</f>
        <v>3.75</v>
      </c>
      <c r="D24" s="9"/>
      <c r="F24" s="1"/>
      <c r="G24" s="1"/>
      <c r="H24" s="1"/>
      <c r="I24" s="1"/>
      <c r="Y24" s="1"/>
    </row>
    <row r="25" customHeight="1" spans="1:24">
      <c r="A25" s="126" t="s">
        <v>2072</v>
      </c>
      <c r="B25" s="193" t="s">
        <v>2096</v>
      </c>
      <c r="C25" s="91">
        <v>18</v>
      </c>
      <c r="D25" s="23" t="s">
        <v>2074</v>
      </c>
      <c r="F25" s="1"/>
      <c r="G25" s="1"/>
      <c r="H25" s="1"/>
      <c r="I25" s="1"/>
      <c r="X25" s="1"/>
    </row>
    <row r="26" customHeight="1" spans="1:24">
      <c r="A26" s="122"/>
      <c r="B26" s="193" t="s">
        <v>2097</v>
      </c>
      <c r="C26" s="91">
        <v>2.5</v>
      </c>
      <c r="D26" s="225"/>
      <c r="F26" s="1"/>
      <c r="G26" s="1"/>
      <c r="H26" s="1"/>
      <c r="I26" s="1"/>
      <c r="X26" s="1"/>
    </row>
    <row r="27" customHeight="1" spans="1:24">
      <c r="A27" s="122"/>
      <c r="B27" s="193" t="s">
        <v>2098</v>
      </c>
      <c r="C27" s="91">
        <v>212</v>
      </c>
      <c r="D27" s="27"/>
      <c r="F27" s="1"/>
      <c r="G27" s="1"/>
      <c r="H27" s="1"/>
      <c r="I27" s="1"/>
      <c r="X27" s="1"/>
    </row>
    <row r="28" customHeight="1" spans="1:24">
      <c r="A28" s="122"/>
      <c r="B28" s="9" t="s">
        <v>2099</v>
      </c>
      <c r="C28" s="256">
        <f>IF(C4="竖直",C6*(9.8+C24)*C25/(2*C27),IF(C4="水平",C6*9.8/2+C6*C24*C25/2/C27,"请选择布局方式"))</f>
        <v>2.87617924528302</v>
      </c>
      <c r="D28" s="257" t="s">
        <v>2078</v>
      </c>
      <c r="F28" s="1"/>
      <c r="G28" s="1"/>
      <c r="H28" s="1"/>
      <c r="I28" s="1"/>
      <c r="X28" s="1"/>
    </row>
    <row r="29" customHeight="1" spans="1:24">
      <c r="A29" s="122"/>
      <c r="B29" s="9" t="s">
        <v>2100</v>
      </c>
      <c r="C29" s="256">
        <f>IF(C4="竖直",C6*(9.8+C24)*C26/(2*C27),IF(C4="水平",C6*C24*C26/2/C27,"请选择布局方式"))</f>
        <v>0.399469339622642</v>
      </c>
      <c r="D29" s="258"/>
      <c r="F29" s="1"/>
      <c r="G29" s="1"/>
      <c r="H29" s="1"/>
      <c r="I29" s="1"/>
      <c r="X29" s="1"/>
    </row>
    <row r="30" customHeight="1" spans="1:24">
      <c r="A30" s="130"/>
      <c r="B30" s="9" t="s">
        <v>2087</v>
      </c>
      <c r="C30" s="104">
        <f>MAX(C28,C29)</f>
        <v>2.87617924528302</v>
      </c>
      <c r="D30" s="9" t="s">
        <v>2088</v>
      </c>
      <c r="F30" s="1"/>
      <c r="G30" s="1"/>
      <c r="H30" s="1"/>
      <c r="I30" s="1"/>
      <c r="X30" s="1"/>
    </row>
    <row r="31" customHeight="1" spans="1:24">
      <c r="A31" s="100" t="s">
        <v>2089</v>
      </c>
      <c r="B31" s="9" t="s">
        <v>2043</v>
      </c>
      <c r="C31" s="259">
        <f>IF(C5="滚珠",C30*C16/(C18*C20*C22)*(C14/50)^(1/3),IF(C5="滚柱",C30*C16/(C18*C20*C22)*(C14/100)^(3/10),IF(C5="免润滑",C30*C16*(C14/50)^(1/1.57),"请选择滚动体类型")))</f>
        <v>36.0343010639544</v>
      </c>
      <c r="D31" s="90" t="s">
        <v>2044</v>
      </c>
      <c r="F31" s="1"/>
      <c r="G31" s="1"/>
      <c r="H31" s="1"/>
      <c r="I31" s="1"/>
      <c r="X31" s="1"/>
    </row>
    <row r="32" customHeight="1" spans="1:24">
      <c r="A32" s="110"/>
      <c r="B32" s="92" t="s">
        <v>2045</v>
      </c>
      <c r="C32" s="260"/>
      <c r="D32" s="202"/>
      <c r="F32" s="1"/>
      <c r="G32" s="1"/>
      <c r="H32" s="1"/>
      <c r="I32" s="1"/>
      <c r="X32" s="1"/>
    </row>
    <row r="33" customHeight="1" spans="6:25">
      <c r="F33" s="1"/>
      <c r="G33" s="1"/>
      <c r="H33" s="1"/>
      <c r="I33" s="1"/>
      <c r="Y33" s="1"/>
    </row>
    <row r="34" customHeight="1" spans="1:29">
      <c r="A34" s="131" t="s">
        <v>2090</v>
      </c>
      <c r="B34" s="132"/>
      <c r="C34" s="132"/>
      <c r="D34" s="133"/>
      <c r="F34" s="1"/>
      <c r="G34" s="1"/>
      <c r="H34" s="1"/>
      <c r="I34" s="1"/>
      <c r="AC34" s="1"/>
    </row>
    <row r="35" customHeight="1" spans="1:29">
      <c r="A35" s="134"/>
      <c r="B35" s="135"/>
      <c r="C35" s="135"/>
      <c r="D35" s="136"/>
      <c r="F35" s="1"/>
      <c r="G35" s="1"/>
      <c r="H35" s="1"/>
      <c r="I35" s="1"/>
      <c r="AC35" s="1"/>
    </row>
    <row r="36" customHeight="1" spans="1:29">
      <c r="A36" s="134"/>
      <c r="B36" s="135"/>
      <c r="C36" s="135"/>
      <c r="D36" s="136"/>
      <c r="F36" s="1"/>
      <c r="G36" s="1"/>
      <c r="H36" s="1"/>
      <c r="I36" s="1"/>
      <c r="AC36" s="1"/>
    </row>
    <row r="37" customHeight="1" spans="1:29">
      <c r="A37" s="134"/>
      <c r="B37" s="135"/>
      <c r="C37" s="135"/>
      <c r="D37" s="136"/>
      <c r="F37" s="1"/>
      <c r="G37" s="1"/>
      <c r="H37" s="1"/>
      <c r="I37" s="1"/>
      <c r="AC37" s="1"/>
    </row>
    <row r="38" customHeight="1" spans="1:29">
      <c r="A38" s="134"/>
      <c r="B38" s="135"/>
      <c r="C38" s="135"/>
      <c r="D38" s="136"/>
      <c r="F38" s="1"/>
      <c r="G38" s="1"/>
      <c r="H38" s="1"/>
      <c r="I38" s="1"/>
      <c r="AC38" s="1"/>
    </row>
    <row r="39" customHeight="1" spans="1:29">
      <c r="A39" s="134"/>
      <c r="B39" s="135"/>
      <c r="C39" s="135"/>
      <c r="D39" s="136"/>
      <c r="F39" s="1"/>
      <c r="G39" s="1"/>
      <c r="H39" s="1"/>
      <c r="I39" s="1"/>
      <c r="AC39" s="1"/>
    </row>
    <row r="40" customHeight="1" spans="1:29">
      <c r="A40" s="134"/>
      <c r="B40" s="135"/>
      <c r="C40" s="135"/>
      <c r="D40" s="136"/>
      <c r="F40" s="1"/>
      <c r="G40" s="1"/>
      <c r="H40" s="1"/>
      <c r="I40" s="1"/>
      <c r="X40" s="1"/>
      <c r="AC40" s="1"/>
    </row>
    <row r="41" customHeight="1" spans="1:29">
      <c r="A41" s="134"/>
      <c r="B41" s="135"/>
      <c r="C41" s="135"/>
      <c r="D41" s="136"/>
      <c r="F41" s="1"/>
      <c r="G41" s="1"/>
      <c r="H41" s="1"/>
      <c r="I41" s="1"/>
      <c r="X41" s="1"/>
      <c r="AC41" s="1"/>
    </row>
    <row r="42" customHeight="1" spans="1:29">
      <c r="A42" s="261"/>
      <c r="B42" s="262"/>
      <c r="C42" s="262"/>
      <c r="D42" s="263"/>
      <c r="F42" s="1"/>
      <c r="G42" s="1"/>
      <c r="H42" s="1"/>
      <c r="I42" s="1"/>
      <c r="X42" s="1"/>
      <c r="AC42" s="1"/>
    </row>
    <row r="43" customHeight="1" spans="1:29">
      <c r="A43" s="240" t="s">
        <v>2091</v>
      </c>
      <c r="B43" s="241"/>
      <c r="C43" s="241"/>
      <c r="D43" s="242"/>
      <c r="F43" s="1"/>
      <c r="G43" s="1"/>
      <c r="H43" s="1"/>
      <c r="I43" s="1"/>
      <c r="AC43" s="1"/>
    </row>
    <row r="44" customHeight="1" spans="1:29">
      <c r="A44" s="243"/>
      <c r="B44" s="244"/>
      <c r="C44" s="244"/>
      <c r="D44" s="245"/>
      <c r="F44" s="1"/>
      <c r="G44" s="1"/>
      <c r="H44" s="1"/>
      <c r="I44" s="1"/>
      <c r="AC44" s="1"/>
    </row>
    <row r="45" customHeight="1" spans="1:29">
      <c r="A45" s="243"/>
      <c r="B45" s="244"/>
      <c r="C45" s="244"/>
      <c r="D45" s="245"/>
      <c r="F45" s="1"/>
      <c r="G45" s="1"/>
      <c r="H45" s="1"/>
      <c r="I45" s="1"/>
      <c r="AC45" s="1"/>
    </row>
    <row r="46" customHeight="1" spans="1:9">
      <c r="A46" s="246"/>
      <c r="B46" s="247"/>
      <c r="C46" s="247"/>
      <c r="D46" s="248"/>
      <c r="F46" s="1"/>
      <c r="G46" s="1"/>
      <c r="H46" s="1"/>
      <c r="I46" s="1"/>
    </row>
    <row r="47" customHeight="1" spans="1:9">
      <c r="A47" s="106" t="s">
        <v>2048</v>
      </c>
      <c r="F47" s="1"/>
      <c r="G47" s="1"/>
      <c r="H47" s="1"/>
      <c r="I47" s="1"/>
    </row>
    <row r="48" customHeight="1" spans="6:9">
      <c r="F48" s="1"/>
      <c r="G48" s="1"/>
      <c r="H48" s="1"/>
      <c r="I48" s="1"/>
    </row>
    <row r="49" customHeight="1" spans="6:29">
      <c r="F49" s="1"/>
      <c r="G49" s="1"/>
      <c r="H49" s="1"/>
      <c r="I49" s="1"/>
      <c r="AC49" s="1"/>
    </row>
    <row r="50" customHeight="1" spans="6:29">
      <c r="F50" s="1"/>
      <c r="G50" s="1"/>
      <c r="H50" s="1"/>
      <c r="I50" s="1"/>
      <c r="AC50" s="1"/>
    </row>
    <row r="51" customHeight="1" spans="6:29">
      <c r="F51" s="82" t="s">
        <v>2092</v>
      </c>
      <c r="G51" s="209"/>
      <c r="AC51" s="1"/>
    </row>
    <row r="52" customHeight="1" spans="7:29">
      <c r="G52" s="209"/>
      <c r="AC52" s="1"/>
    </row>
    <row r="53" customHeight="1" spans="7:29">
      <c r="G53" s="209"/>
      <c r="M53" s="1"/>
      <c r="AC53" s="1"/>
    </row>
    <row r="54" customHeight="1" spans="6:29">
      <c r="F54" s="1"/>
      <c r="G54" s="1"/>
      <c r="H54" s="1"/>
      <c r="I54" s="1"/>
      <c r="J54" s="1"/>
      <c r="K54" s="1"/>
      <c r="L54" s="1"/>
      <c r="M54" s="1"/>
      <c r="AC54" s="1"/>
    </row>
    <row r="55" customHeight="1" spans="6:29">
      <c r="F55" s="1"/>
      <c r="G55" s="1"/>
      <c r="H55" s="1"/>
      <c r="I55" s="1"/>
      <c r="J55" s="1"/>
      <c r="K55" s="1"/>
      <c r="L55" s="1"/>
      <c r="M55" s="1"/>
      <c r="AC55" s="1"/>
    </row>
    <row r="56" customHeight="1" spans="6:29">
      <c r="F56" s="1"/>
      <c r="G56" s="1"/>
      <c r="H56" s="1"/>
      <c r="I56" s="1"/>
      <c r="J56" s="1"/>
      <c r="K56" s="1"/>
      <c r="L56" s="1"/>
      <c r="M56" s="1"/>
      <c r="AC56" s="1"/>
    </row>
    <row r="57" customHeight="1" spans="6:29">
      <c r="F57" s="1"/>
      <c r="G57" s="1"/>
      <c r="H57" s="1"/>
      <c r="I57" s="1"/>
      <c r="J57" s="1"/>
      <c r="K57" s="1"/>
      <c r="L57" s="1"/>
      <c r="M57" s="1"/>
      <c r="AC57" s="1"/>
    </row>
    <row r="58" customHeight="1" spans="1:29">
      <c r="A58" s="82" t="s">
        <v>2093</v>
      </c>
      <c r="F58" s="1"/>
      <c r="G58" s="1"/>
      <c r="H58" s="1"/>
      <c r="I58" s="1"/>
      <c r="J58" s="1"/>
      <c r="K58" s="1"/>
      <c r="L58" s="1"/>
      <c r="M58" s="1"/>
      <c r="AC58" s="1"/>
    </row>
    <row r="59" customHeight="1" spans="6:29">
      <c r="F59" s="1"/>
      <c r="G59" s="1"/>
      <c r="H59" s="1"/>
      <c r="I59" s="1"/>
      <c r="J59" s="222"/>
      <c r="K59" s="1"/>
      <c r="L59" s="1"/>
      <c r="M59" s="1"/>
      <c r="AC59" s="1"/>
    </row>
    <row r="60" customHeight="1" spans="6:29">
      <c r="F60" s="1"/>
      <c r="G60" s="1"/>
      <c r="H60" s="1"/>
      <c r="I60" s="1"/>
      <c r="J60" s="222"/>
      <c r="K60" s="1"/>
      <c r="L60" s="1"/>
      <c r="M60" s="1"/>
      <c r="AC60" s="1"/>
    </row>
    <row r="61" customHeight="1" spans="6:29">
      <c r="F61" s="1"/>
      <c r="G61" s="1"/>
      <c r="H61" s="1"/>
      <c r="I61" s="1"/>
      <c r="J61" s="222"/>
      <c r="K61" s="1"/>
      <c r="L61" s="1"/>
      <c r="M61" s="1"/>
      <c r="AC61" s="1"/>
    </row>
    <row r="62" customHeight="1" spans="9:29">
      <c r="I62" s="1"/>
      <c r="J62" s="222"/>
      <c r="K62" s="1"/>
      <c r="L62" s="1"/>
      <c r="M62" s="1"/>
      <c r="AC62" s="1"/>
    </row>
    <row r="63" customHeight="1" spans="1:29">
      <c r="A63" s="82" t="s">
        <v>2094</v>
      </c>
      <c r="I63" s="222"/>
      <c r="J63" s="222"/>
      <c r="K63" s="1"/>
      <c r="L63" s="1"/>
      <c r="M63" s="1"/>
      <c r="AC63" s="1"/>
    </row>
    <row r="64" customHeight="1" spans="10:29">
      <c r="J64" s="1"/>
      <c r="K64" s="1"/>
      <c r="L64" s="1"/>
      <c r="M64" s="1"/>
      <c r="AC64" s="1"/>
    </row>
    <row r="65" customHeight="1" spans="10:29">
      <c r="J65" s="1"/>
      <c r="K65" s="1"/>
      <c r="L65" s="1"/>
      <c r="M65" s="1"/>
      <c r="AC65" s="1"/>
    </row>
    <row r="66" customHeight="1" spans="6:29">
      <c r="F66" s="1"/>
      <c r="G66" s="1"/>
      <c r="H66" s="1"/>
      <c r="I66" s="1"/>
      <c r="J66" s="1"/>
      <c r="K66" s="1"/>
      <c r="L66" s="1"/>
      <c r="M66" s="1"/>
      <c r="AC66" s="1"/>
    </row>
    <row r="67" customHeight="1" spans="6:13">
      <c r="F67" s="1"/>
      <c r="G67" s="1"/>
      <c r="H67" s="1"/>
      <c r="I67" s="1"/>
      <c r="J67" s="1"/>
      <c r="K67" s="1"/>
      <c r="L67" s="1"/>
      <c r="M67" s="1"/>
    </row>
    <row r="68" customHeight="1" spans="6:13">
      <c r="F68" s="1"/>
      <c r="G68" s="1"/>
      <c r="H68" s="1"/>
      <c r="I68" s="1"/>
      <c r="J68" s="1"/>
      <c r="K68" s="1"/>
      <c r="L68" s="1"/>
      <c r="M68" s="1"/>
    </row>
    <row r="69" customHeight="1" spans="6:13">
      <c r="F69" s="1"/>
      <c r="G69" s="1"/>
      <c r="H69" s="1"/>
      <c r="I69" s="1"/>
      <c r="J69" s="1"/>
      <c r="K69" s="1"/>
      <c r="L69" s="1"/>
      <c r="M69" s="1"/>
    </row>
    <row r="70" customHeight="1" spans="6:13">
      <c r="F70" s="1"/>
      <c r="G70" s="1"/>
      <c r="H70" s="1"/>
      <c r="I70" s="1"/>
      <c r="J70" s="1"/>
      <c r="K70" s="1"/>
      <c r="L70" s="1"/>
      <c r="M70" s="1"/>
    </row>
    <row r="71" customHeight="1" spans="10:13">
      <c r="J71" s="1"/>
      <c r="K71" s="1"/>
      <c r="L71" s="1"/>
      <c r="M71" s="1"/>
    </row>
    <row r="72" customHeight="1" spans="10:13">
      <c r="J72" s="1"/>
      <c r="K72" s="1"/>
      <c r="L72" s="1"/>
      <c r="M72" s="1"/>
    </row>
    <row r="73" customHeight="1" spans="10:12">
      <c r="J73" s="1"/>
      <c r="K73" s="1"/>
      <c r="L73" s="1"/>
    </row>
    <row r="74" customHeight="1" spans="10:11">
      <c r="J74" s="1"/>
      <c r="K74" s="1"/>
    </row>
    <row r="75" customHeight="1" spans="10:11">
      <c r="J75" s="1"/>
      <c r="K75" s="1"/>
    </row>
    <row r="76" customHeight="1" spans="10:11">
      <c r="J76" s="1"/>
      <c r="K76" s="1"/>
    </row>
    <row r="77" customHeight="1" spans="11:11">
      <c r="K77" s="1"/>
    </row>
  </sheetData>
  <customSheetViews>
    <customSheetView guid="{27B96A40-A6B2-43F7-A93C-713F4207CB2A}">
      <selection activeCell="Q8" sqref="Q8"/>
      <pageMargins left="0.7" right="0.7" top="0.75" bottom="0.75" header="0.3" footer="0.3"/>
      <pageSetup paperSize="9" orientation="portrait"/>
      <headerFooter/>
    </customSheetView>
  </customSheetViews>
  <mergeCells count="7">
    <mergeCell ref="A1:D1"/>
    <mergeCell ref="A4:A14"/>
    <mergeCell ref="A15:A22"/>
    <mergeCell ref="A31:A32"/>
    <mergeCell ref="D31:D32"/>
    <mergeCell ref="A34:D42"/>
    <mergeCell ref="A43:D46"/>
  </mergeCells>
  <dataValidations count="2">
    <dataValidation type="list" allowBlank="1" showInputMessage="1" showErrorMessage="1" prompt="请选择" sqref="C4">
      <formula1>"水平,竖直"</formula1>
    </dataValidation>
    <dataValidation type="list" allowBlank="1" showInputMessage="1" showErrorMessage="1" prompt="请选择" sqref="C5">
      <formula1>"滚珠,滚柱,免润滑"</formula1>
    </dataValidation>
  </dataValidations>
  <pageMargins left="0.7" right="0.7" top="0.75" bottom="0.75" header="0.3" footer="0.3"/>
  <pageSetup paperSize="9" orientation="portrait"/>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77"/>
  <sheetViews>
    <sheetView workbookViewId="0">
      <selection activeCell="A34" sqref="A34:D42"/>
    </sheetView>
  </sheetViews>
  <sheetFormatPr defaultColWidth="15.625" defaultRowHeight="20.1" customHeight="1"/>
  <cols>
    <col min="1" max="1" width="13.375" style="82" customWidth="1"/>
    <col min="2" max="2" width="20" style="82" customWidth="1"/>
    <col min="3" max="3" width="13.875" style="83" customWidth="1"/>
    <col min="4" max="4" width="17.5" style="82" customWidth="1"/>
    <col min="5" max="5" width="5" style="82" customWidth="1"/>
    <col min="6" max="6" width="14.375" style="82" customWidth="1"/>
    <col min="7" max="7" width="13.25" style="82" customWidth="1"/>
    <col min="8" max="10" width="10.625" style="82" customWidth="1"/>
    <col min="11" max="11" width="8.875" style="82" customWidth="1"/>
    <col min="12" max="12" width="7.625" style="82" customWidth="1"/>
    <col min="13" max="13" width="7.125" style="82" customWidth="1"/>
    <col min="14" max="15" width="8.5" style="82" customWidth="1"/>
    <col min="16" max="20" width="10.625" style="82" customWidth="1"/>
    <col min="21" max="27" width="8.625" style="82" customWidth="1"/>
    <col min="28" max="16384" width="15.625" style="82"/>
  </cols>
  <sheetData>
    <row r="1" ht="21.95" customHeight="1" spans="1:8">
      <c r="A1" s="249" t="s">
        <v>2101</v>
      </c>
      <c r="B1" s="250"/>
      <c r="C1" s="250"/>
      <c r="D1" s="250"/>
      <c r="F1" s="146"/>
      <c r="G1" s="1"/>
      <c r="H1" s="1"/>
    </row>
    <row r="2" customHeight="1" spans="1:30">
      <c r="A2" s="106" t="s">
        <v>2002</v>
      </c>
      <c r="F2" s="146" t="s">
        <v>2003</v>
      </c>
      <c r="G2" s="1"/>
      <c r="H2" s="1"/>
      <c r="I2" s="1"/>
      <c r="J2" s="106" t="s">
        <v>2051</v>
      </c>
      <c r="R2" s="114"/>
      <c r="S2" s="114"/>
      <c r="T2" s="114"/>
      <c r="V2" s="115"/>
      <c r="W2" s="115"/>
      <c r="X2" s="115"/>
      <c r="Y2" s="115"/>
      <c r="Z2" s="115"/>
      <c r="AA2" s="115"/>
      <c r="AB2" s="115"/>
      <c r="AC2" s="115"/>
      <c r="AD2" s="115"/>
    </row>
    <row r="3" customHeight="1" spans="1:30">
      <c r="A3" s="9" t="s">
        <v>269</v>
      </c>
      <c r="B3" s="9" t="s">
        <v>270</v>
      </c>
      <c r="C3" s="32" t="s">
        <v>271</v>
      </c>
      <c r="D3" s="9" t="s">
        <v>272</v>
      </c>
      <c r="F3" s="92" t="s">
        <v>2052</v>
      </c>
      <c r="G3" s="9" t="s">
        <v>2005</v>
      </c>
      <c r="H3" s="9" t="s">
        <v>2006</v>
      </c>
      <c r="I3" s="1"/>
      <c r="T3" s="114"/>
      <c r="V3" s="115"/>
      <c r="W3" s="115"/>
      <c r="X3" s="115"/>
      <c r="Y3" s="115"/>
      <c r="Z3" s="115"/>
      <c r="AA3" s="115"/>
      <c r="AB3" s="115"/>
      <c r="AC3" s="115"/>
      <c r="AD3" s="115"/>
    </row>
    <row r="4" customHeight="1" spans="1:30">
      <c r="A4" s="251" t="s">
        <v>1083</v>
      </c>
      <c r="B4" s="92" t="s">
        <v>2053</v>
      </c>
      <c r="C4" s="151" t="s">
        <v>1653</v>
      </c>
      <c r="D4" s="9" t="s">
        <v>1885</v>
      </c>
      <c r="F4" s="92" t="s">
        <v>2054</v>
      </c>
      <c r="G4" s="28" t="s">
        <v>2010</v>
      </c>
      <c r="H4" s="28" t="s">
        <v>263</v>
      </c>
      <c r="I4" s="1"/>
      <c r="T4" s="114"/>
      <c r="W4" s="1"/>
      <c r="X4" s="1"/>
      <c r="Y4" s="1"/>
      <c r="Z4" s="1"/>
      <c r="AA4" s="1"/>
      <c r="AB4" s="1"/>
      <c r="AC4" s="1"/>
      <c r="AD4" s="1"/>
    </row>
    <row r="5" customHeight="1" spans="1:31">
      <c r="A5" s="252"/>
      <c r="B5" s="92" t="s">
        <v>2007</v>
      </c>
      <c r="C5" s="151" t="s">
        <v>2008</v>
      </c>
      <c r="D5" s="9"/>
      <c r="F5" s="92" t="s">
        <v>568</v>
      </c>
      <c r="G5" s="28" t="s">
        <v>2013</v>
      </c>
      <c r="H5" s="28" t="s">
        <v>943</v>
      </c>
      <c r="I5" s="1"/>
      <c r="T5" s="114"/>
      <c r="W5" s="114"/>
      <c r="X5" s="114"/>
      <c r="Y5" s="114"/>
      <c r="Z5" s="114"/>
      <c r="AA5" s="114"/>
      <c r="AB5" s="114"/>
      <c r="AC5" s="114"/>
      <c r="AD5" s="114"/>
      <c r="AE5" s="1"/>
    </row>
    <row r="6" customHeight="1" spans="1:31">
      <c r="A6" s="252"/>
      <c r="B6" s="9" t="s">
        <v>1777</v>
      </c>
      <c r="C6" s="91">
        <v>5</v>
      </c>
      <c r="D6" s="9"/>
      <c r="F6" s="92" t="s">
        <v>860</v>
      </c>
      <c r="G6" s="253" t="s">
        <v>2055</v>
      </c>
      <c r="H6" s="253" t="s">
        <v>2014</v>
      </c>
      <c r="I6" s="1"/>
      <c r="T6" s="114"/>
      <c r="W6" s="114"/>
      <c r="X6" s="114"/>
      <c r="Y6" s="114"/>
      <c r="Z6" s="114"/>
      <c r="AE6" s="114"/>
    </row>
    <row r="7" customHeight="1" spans="1:29">
      <c r="A7" s="252"/>
      <c r="B7" s="9" t="s">
        <v>2015</v>
      </c>
      <c r="C7" s="91">
        <v>2</v>
      </c>
      <c r="D7" s="92"/>
      <c r="F7" s="92" t="s">
        <v>570</v>
      </c>
      <c r="G7" s="253" t="s">
        <v>2056</v>
      </c>
      <c r="H7" s="253" t="s">
        <v>2057</v>
      </c>
      <c r="I7" s="1"/>
      <c r="U7" s="114"/>
      <c r="V7" s="114"/>
      <c r="W7" s="114"/>
      <c r="X7" s="114"/>
      <c r="Y7" s="114"/>
      <c r="Z7" s="114"/>
      <c r="AA7" s="114"/>
      <c r="AB7" s="114"/>
      <c r="AC7" s="114"/>
    </row>
    <row r="8" customHeight="1" spans="1:30">
      <c r="A8" s="252"/>
      <c r="B8" s="9" t="s">
        <v>2058</v>
      </c>
      <c r="C8" s="91">
        <v>600</v>
      </c>
      <c r="D8" s="92" t="s">
        <v>2020</v>
      </c>
      <c r="F8" s="1"/>
      <c r="G8" s="1"/>
      <c r="H8" s="1"/>
      <c r="I8" s="1"/>
      <c r="M8" s="1"/>
      <c r="V8" s="114"/>
      <c r="W8" s="114"/>
      <c r="X8" s="114"/>
      <c r="Y8" s="114"/>
      <c r="Z8" s="114"/>
      <c r="AA8" s="114"/>
      <c r="AB8" s="114"/>
      <c r="AC8" s="114"/>
      <c r="AD8" s="114"/>
    </row>
    <row r="9" customHeight="1" spans="1:23">
      <c r="A9" s="252"/>
      <c r="B9" s="9" t="s">
        <v>2059</v>
      </c>
      <c r="C9" s="91">
        <v>0.2</v>
      </c>
      <c r="D9" s="9" t="s">
        <v>2060</v>
      </c>
      <c r="F9" s="106" t="s">
        <v>2022</v>
      </c>
      <c r="G9" s="1"/>
      <c r="H9" s="1"/>
      <c r="I9" s="1"/>
      <c r="J9" s="1"/>
      <c r="K9" s="1"/>
      <c r="L9" s="1"/>
      <c r="M9" s="1"/>
      <c r="U9" s="114"/>
      <c r="V9" s="114"/>
      <c r="W9" s="114"/>
    </row>
    <row r="10" customHeight="1" spans="1:15">
      <c r="A10" s="252"/>
      <c r="B10" s="9" t="s">
        <v>2061</v>
      </c>
      <c r="C10" s="91">
        <v>0.2</v>
      </c>
      <c r="D10" s="9" t="s">
        <v>1517</v>
      </c>
      <c r="F10" s="254" t="s">
        <v>2025</v>
      </c>
      <c r="G10" s="32" t="s">
        <v>2026</v>
      </c>
      <c r="H10" s="1"/>
      <c r="I10" s="1"/>
      <c r="J10" s="1"/>
      <c r="K10" s="1"/>
      <c r="L10" s="1"/>
      <c r="M10" s="1"/>
      <c r="O10" s="1"/>
    </row>
    <row r="11" customHeight="1" spans="1:13">
      <c r="A11" s="252"/>
      <c r="B11" s="9" t="s">
        <v>2021</v>
      </c>
      <c r="C11" s="91">
        <v>15</v>
      </c>
      <c r="D11" s="9"/>
      <c r="F11" s="32">
        <v>1</v>
      </c>
      <c r="G11" s="28">
        <v>1</v>
      </c>
      <c r="H11" s="1"/>
      <c r="I11" s="1"/>
      <c r="J11" s="146" t="s">
        <v>2062</v>
      </c>
      <c r="K11" s="1"/>
      <c r="L11" s="1"/>
      <c r="M11" s="1"/>
    </row>
    <row r="12" customHeight="1" spans="1:27">
      <c r="A12" s="252"/>
      <c r="B12" s="9" t="s">
        <v>2063</v>
      </c>
      <c r="C12" s="91">
        <v>2</v>
      </c>
      <c r="D12" s="92" t="s">
        <v>2064</v>
      </c>
      <c r="F12" s="32">
        <v>2</v>
      </c>
      <c r="G12" s="28">
        <v>0.81</v>
      </c>
      <c r="H12" s="1"/>
      <c r="I12" s="1"/>
      <c r="J12" s="1"/>
      <c r="K12" s="1"/>
      <c r="L12" s="1"/>
      <c r="M12" s="1"/>
      <c r="AA12" s="1"/>
    </row>
    <row r="13" customHeight="1" spans="1:27">
      <c r="A13" s="252"/>
      <c r="B13" s="9" t="s">
        <v>2023</v>
      </c>
      <c r="C13" s="91">
        <f>2*8*350*5</f>
        <v>28000</v>
      </c>
      <c r="D13" s="9" t="s">
        <v>2024</v>
      </c>
      <c r="F13" s="32">
        <v>3</v>
      </c>
      <c r="G13" s="28">
        <v>0.72</v>
      </c>
      <c r="H13" s="1"/>
      <c r="I13" s="1"/>
      <c r="J13" s="1"/>
      <c r="K13" s="1"/>
      <c r="L13" s="1"/>
      <c r="M13" s="1"/>
      <c r="AA13" s="1"/>
    </row>
    <row r="14" customHeight="1" spans="1:27">
      <c r="A14" s="255"/>
      <c r="B14" s="9" t="s">
        <v>2065</v>
      </c>
      <c r="C14" s="152">
        <f>C13*60*C11*2*C8/10^6</f>
        <v>30240</v>
      </c>
      <c r="D14" s="9" t="s">
        <v>2066</v>
      </c>
      <c r="F14" s="32">
        <v>4</v>
      </c>
      <c r="G14" s="253">
        <v>0.66</v>
      </c>
      <c r="H14" s="1"/>
      <c r="I14" s="1"/>
      <c r="J14" s="1"/>
      <c r="K14" s="1"/>
      <c r="L14" s="1"/>
      <c r="M14" s="1"/>
      <c r="AA14" s="1"/>
    </row>
    <row r="15" customHeight="1" spans="1:27">
      <c r="A15" s="100" t="s">
        <v>2067</v>
      </c>
      <c r="B15" s="9" t="s">
        <v>2028</v>
      </c>
      <c r="C15" s="32">
        <f>2*C8/1000/(60/C11-C12)*60</f>
        <v>36</v>
      </c>
      <c r="D15" s="9"/>
      <c r="F15" s="32">
        <v>5</v>
      </c>
      <c r="G15" s="253">
        <v>0.61</v>
      </c>
      <c r="H15" s="1"/>
      <c r="I15" s="1"/>
      <c r="J15" s="1"/>
      <c r="K15" s="1"/>
      <c r="L15" s="1"/>
      <c r="M15" s="1"/>
      <c r="AA15" s="1"/>
    </row>
    <row r="16" customHeight="1" spans="1:27">
      <c r="A16" s="101"/>
      <c r="B16" s="9" t="s">
        <v>2029</v>
      </c>
      <c r="C16" s="210">
        <v>1.2</v>
      </c>
      <c r="D16" s="9" t="s">
        <v>901</v>
      </c>
      <c r="F16" s="32" t="s">
        <v>2036</v>
      </c>
      <c r="G16" s="253">
        <v>0.6</v>
      </c>
      <c r="H16" s="1"/>
      <c r="I16" s="1"/>
      <c r="J16" s="1"/>
      <c r="K16" s="1"/>
      <c r="L16" s="1"/>
      <c r="M16" s="1"/>
      <c r="AA16" s="1"/>
    </row>
    <row r="17" customHeight="1" spans="1:27">
      <c r="A17" s="101"/>
      <c r="B17" s="9" t="s">
        <v>2030</v>
      </c>
      <c r="C17" s="91">
        <v>57</v>
      </c>
      <c r="D17" s="9" t="s">
        <v>2031</v>
      </c>
      <c r="F17" s="1"/>
      <c r="G17" s="1"/>
      <c r="H17" s="1"/>
      <c r="I17" s="1"/>
      <c r="J17" s="1"/>
      <c r="K17" s="1"/>
      <c r="L17" s="1"/>
      <c r="M17" s="1"/>
      <c r="AA17" s="1"/>
    </row>
    <row r="18" customHeight="1" spans="1:25">
      <c r="A18" s="101"/>
      <c r="B18" s="9" t="s">
        <v>2032</v>
      </c>
      <c r="C18" s="104">
        <f>IF(C17&lt;57,-0.000000029056202*C17^6+0.000007475998062*C17^5-0.000793552083205*C17^4+0.044508155269588*C17^3-1.39104856058973*C17^2+22.9720175059869*C17-156.474607500798,1)</f>
        <v>1</v>
      </c>
      <c r="D18" s="9"/>
      <c r="F18" s="1" t="s">
        <v>2068</v>
      </c>
      <c r="G18" s="1"/>
      <c r="H18" s="1"/>
      <c r="I18" s="1"/>
      <c r="J18" s="1"/>
      <c r="K18" s="1"/>
      <c r="L18" s="1"/>
      <c r="Y18" s="1"/>
    </row>
    <row r="19" customHeight="1" spans="1:25">
      <c r="A19" s="101"/>
      <c r="B19" s="9" t="s">
        <v>2033</v>
      </c>
      <c r="C19" s="109">
        <v>100</v>
      </c>
      <c r="D19" s="9" t="s">
        <v>2034</v>
      </c>
      <c r="F19" s="1"/>
      <c r="G19" s="1"/>
      <c r="H19" s="1"/>
      <c r="I19" s="1"/>
      <c r="Y19" s="1"/>
    </row>
    <row r="20" customHeight="1" spans="1:25">
      <c r="A20" s="101"/>
      <c r="B20" s="9" t="s">
        <v>2035</v>
      </c>
      <c r="C20" s="104">
        <f>IF(C19&gt;100,-0.000015869130869*C19^2+0.002670689310689*C19+0.887959740259746,1)</f>
        <v>1</v>
      </c>
      <c r="D20" s="9"/>
      <c r="F20" s="1"/>
      <c r="G20" s="1"/>
      <c r="H20" s="1"/>
      <c r="I20" s="1"/>
      <c r="Y20" s="1"/>
    </row>
    <row r="21" customHeight="1" spans="1:25">
      <c r="A21" s="101"/>
      <c r="B21" s="92" t="s">
        <v>2037</v>
      </c>
      <c r="C21" s="91">
        <v>2</v>
      </c>
      <c r="D21" s="9"/>
      <c r="F21" s="1"/>
      <c r="G21" s="1"/>
      <c r="H21" s="1"/>
      <c r="I21" s="1"/>
      <c r="Y21" s="1"/>
    </row>
    <row r="22" customHeight="1" spans="1:25">
      <c r="A22" s="110"/>
      <c r="B22" s="9" t="s">
        <v>2038</v>
      </c>
      <c r="C22" s="152">
        <f>IF(C21=1,1,IF(C21=2,0.81,IF(C21=3,0.72,IF(C21=4,0.66,IF(C21=5,0.61,IF(OR(C21=6,C21&gt;6),0.6,请填滑块数))))))</f>
        <v>0.81</v>
      </c>
      <c r="D22" s="9" t="s">
        <v>1885</v>
      </c>
      <c r="F22" s="1"/>
      <c r="G22" s="1"/>
      <c r="H22" s="1"/>
      <c r="I22" s="1"/>
      <c r="Y22" s="1"/>
    </row>
    <row r="23" customHeight="1" spans="1:25">
      <c r="A23" s="126" t="s">
        <v>2069</v>
      </c>
      <c r="B23" s="9" t="s">
        <v>1521</v>
      </c>
      <c r="C23" s="119">
        <f>2*C8/1000/(60/C11-C12-C9-C10)</f>
        <v>0.75</v>
      </c>
      <c r="D23" s="9" t="str">
        <f>ROUND(C23*1000,2)&amp;" mm/s"</f>
        <v>750 mm/s</v>
      </c>
      <c r="F23" s="1"/>
      <c r="G23" s="1"/>
      <c r="H23" s="1"/>
      <c r="I23" s="1"/>
      <c r="Y23" s="1"/>
    </row>
    <row r="24" customHeight="1" spans="1:25">
      <c r="A24" s="122"/>
      <c r="B24" s="9" t="s">
        <v>2070</v>
      </c>
      <c r="C24" s="119">
        <f>C23/C9</f>
        <v>3.75</v>
      </c>
      <c r="D24" s="9"/>
      <c r="F24" s="1"/>
      <c r="G24" s="1"/>
      <c r="H24" s="1"/>
      <c r="I24" s="1"/>
      <c r="Y24" s="1"/>
    </row>
    <row r="25" customHeight="1" spans="1:24">
      <c r="A25" s="126" t="s">
        <v>2072</v>
      </c>
      <c r="B25" s="193" t="s">
        <v>2096</v>
      </c>
      <c r="C25" s="91">
        <v>18</v>
      </c>
      <c r="D25" s="23" t="s">
        <v>2074</v>
      </c>
      <c r="F25" s="1"/>
      <c r="G25" s="1"/>
      <c r="H25" s="1"/>
      <c r="I25" s="1"/>
      <c r="X25" s="1"/>
    </row>
    <row r="26" customHeight="1" spans="1:24">
      <c r="A26" s="122"/>
      <c r="B26" s="193" t="s">
        <v>2097</v>
      </c>
      <c r="C26" s="91">
        <v>2.5</v>
      </c>
      <c r="D26" s="225"/>
      <c r="F26" s="1"/>
      <c r="G26" s="1"/>
      <c r="H26" s="1"/>
      <c r="I26" s="1"/>
      <c r="X26" s="1"/>
    </row>
    <row r="27" customHeight="1" spans="1:24">
      <c r="A27" s="122"/>
      <c r="B27" s="193" t="s">
        <v>2098</v>
      </c>
      <c r="C27" s="91">
        <v>212</v>
      </c>
      <c r="D27" s="27"/>
      <c r="F27" s="1"/>
      <c r="G27" s="1"/>
      <c r="H27" s="1"/>
      <c r="I27" s="1"/>
      <c r="X27" s="1"/>
    </row>
    <row r="28" customHeight="1" spans="1:24">
      <c r="A28" s="122"/>
      <c r="B28" s="9" t="s">
        <v>2099</v>
      </c>
      <c r="C28" s="256">
        <f>IF(C4="竖直",C6*(9.8+C24)*C25/C27,IF(C4="水平",C6*9.8+C6*C24*C25/C27,"请选择布局方式"))</f>
        <v>5.75235849056604</v>
      </c>
      <c r="D28" s="257" t="s">
        <v>2078</v>
      </c>
      <c r="F28" s="1"/>
      <c r="G28" s="1"/>
      <c r="H28" s="1"/>
      <c r="I28" s="1"/>
      <c r="X28" s="1"/>
    </row>
    <row r="29" customHeight="1" spans="1:24">
      <c r="A29" s="122"/>
      <c r="B29" s="9" t="s">
        <v>2100</v>
      </c>
      <c r="C29" s="256">
        <f>IF(C4="竖直",C6*(9.8+C24)*C26/C27,IF(C4="水平",C6*C24*C26/C27,"请选择布局方式"))</f>
        <v>0.798938679245283</v>
      </c>
      <c r="D29" s="258"/>
      <c r="F29" s="1"/>
      <c r="G29" s="1"/>
      <c r="H29" s="1"/>
      <c r="I29" s="1"/>
      <c r="X29" s="1"/>
    </row>
    <row r="30" customHeight="1" spans="1:24">
      <c r="A30" s="130"/>
      <c r="B30" s="9" t="s">
        <v>2087</v>
      </c>
      <c r="C30" s="104">
        <f>MAX(C28,C29)</f>
        <v>5.75235849056604</v>
      </c>
      <c r="D30" s="9" t="s">
        <v>2088</v>
      </c>
      <c r="F30" s="1"/>
      <c r="G30" s="1"/>
      <c r="H30" s="1"/>
      <c r="I30" s="1"/>
      <c r="X30" s="1"/>
    </row>
    <row r="31" customHeight="1" spans="1:24">
      <c r="A31" s="100" t="s">
        <v>2089</v>
      </c>
      <c r="B31" s="9" t="s">
        <v>2043</v>
      </c>
      <c r="C31" s="259">
        <f>IF(C5="滚珠",C30*C16/(C18*C20*C22)*(C14/50)^(1/3),IF(C5="滚柱",C30*C16/(C18*C20*C22)*(C14/100)^(3/10),IF(C5="免润滑",C30*C16*(C14/50)^(1/1.57),"请选择滚动体类型")))</f>
        <v>72.0686021279089</v>
      </c>
      <c r="D31" s="90" t="s">
        <v>2044</v>
      </c>
      <c r="F31" s="1"/>
      <c r="G31" s="1"/>
      <c r="H31" s="1"/>
      <c r="I31" s="1"/>
      <c r="X31" s="1"/>
    </row>
    <row r="32" customHeight="1" spans="1:24">
      <c r="A32" s="110"/>
      <c r="B32" s="92" t="s">
        <v>2045</v>
      </c>
      <c r="C32" s="260"/>
      <c r="D32" s="202"/>
      <c r="F32" s="1"/>
      <c r="G32" s="1"/>
      <c r="H32" s="1"/>
      <c r="I32" s="1"/>
      <c r="X32" s="1"/>
    </row>
    <row r="33" customHeight="1" spans="6:25">
      <c r="F33" s="1"/>
      <c r="G33" s="1"/>
      <c r="H33" s="1"/>
      <c r="I33" s="1"/>
      <c r="Y33" s="1"/>
    </row>
    <row r="34" customHeight="1" spans="1:29">
      <c r="A34" s="131" t="s">
        <v>2090</v>
      </c>
      <c r="B34" s="132"/>
      <c r="C34" s="132"/>
      <c r="D34" s="133"/>
      <c r="F34" s="1"/>
      <c r="G34" s="1"/>
      <c r="H34" s="1"/>
      <c r="I34" s="1"/>
      <c r="AC34" s="1"/>
    </row>
    <row r="35" customHeight="1" spans="1:29">
      <c r="A35" s="134"/>
      <c r="B35" s="135"/>
      <c r="C35" s="135"/>
      <c r="D35" s="136"/>
      <c r="F35" s="1"/>
      <c r="G35" s="1"/>
      <c r="H35" s="1"/>
      <c r="I35" s="1"/>
      <c r="AC35" s="1"/>
    </row>
    <row r="36" customHeight="1" spans="1:29">
      <c r="A36" s="134"/>
      <c r="B36" s="135"/>
      <c r="C36" s="135"/>
      <c r="D36" s="136"/>
      <c r="F36" s="1"/>
      <c r="G36" s="1"/>
      <c r="H36" s="1"/>
      <c r="I36" s="1"/>
      <c r="AC36" s="1"/>
    </row>
    <row r="37" customHeight="1" spans="1:29">
      <c r="A37" s="134"/>
      <c r="B37" s="135"/>
      <c r="C37" s="135"/>
      <c r="D37" s="136"/>
      <c r="F37" s="1"/>
      <c r="G37" s="1"/>
      <c r="H37" s="1"/>
      <c r="I37" s="1"/>
      <c r="AC37" s="1"/>
    </row>
    <row r="38" customHeight="1" spans="1:29">
      <c r="A38" s="134"/>
      <c r="B38" s="135"/>
      <c r="C38" s="135"/>
      <c r="D38" s="136"/>
      <c r="F38" s="1"/>
      <c r="G38" s="1"/>
      <c r="H38" s="1"/>
      <c r="I38" s="1"/>
      <c r="AC38" s="1"/>
    </row>
    <row r="39" customHeight="1" spans="1:29">
      <c r="A39" s="134"/>
      <c r="B39" s="135"/>
      <c r="C39" s="135"/>
      <c r="D39" s="136"/>
      <c r="F39" s="1"/>
      <c r="G39" s="1"/>
      <c r="H39" s="1"/>
      <c r="I39" s="1"/>
      <c r="AC39" s="1"/>
    </row>
    <row r="40" customHeight="1" spans="1:29">
      <c r="A40" s="134"/>
      <c r="B40" s="135"/>
      <c r="C40" s="135"/>
      <c r="D40" s="136"/>
      <c r="F40" s="1"/>
      <c r="G40" s="1"/>
      <c r="H40" s="1"/>
      <c r="I40" s="1"/>
      <c r="X40" s="1"/>
      <c r="AC40" s="1"/>
    </row>
    <row r="41" customHeight="1" spans="1:29">
      <c r="A41" s="134"/>
      <c r="B41" s="135"/>
      <c r="C41" s="135"/>
      <c r="D41" s="136"/>
      <c r="F41" s="1"/>
      <c r="G41" s="1"/>
      <c r="H41" s="1"/>
      <c r="I41" s="1"/>
      <c r="X41" s="1"/>
      <c r="AC41" s="1"/>
    </row>
    <row r="42" customHeight="1" spans="1:29">
      <c r="A42" s="261"/>
      <c r="B42" s="262"/>
      <c r="C42" s="262"/>
      <c r="D42" s="263"/>
      <c r="F42" s="1"/>
      <c r="G42" s="1"/>
      <c r="H42" s="1"/>
      <c r="I42" s="1"/>
      <c r="X42" s="1"/>
      <c r="AC42" s="1"/>
    </row>
    <row r="43" customHeight="1" spans="1:29">
      <c r="A43" s="240" t="s">
        <v>2091</v>
      </c>
      <c r="B43" s="241"/>
      <c r="C43" s="241"/>
      <c r="D43" s="242"/>
      <c r="F43" s="1"/>
      <c r="G43" s="1"/>
      <c r="H43" s="1"/>
      <c r="I43" s="1"/>
      <c r="AC43" s="1"/>
    </row>
    <row r="44" customHeight="1" spans="1:29">
      <c r="A44" s="243"/>
      <c r="B44" s="244"/>
      <c r="C44" s="244"/>
      <c r="D44" s="245"/>
      <c r="F44" s="1"/>
      <c r="G44" s="1"/>
      <c r="H44" s="1"/>
      <c r="I44" s="1"/>
      <c r="AC44" s="1"/>
    </row>
    <row r="45" customHeight="1" spans="1:29">
      <c r="A45" s="243"/>
      <c r="B45" s="244"/>
      <c r="C45" s="244"/>
      <c r="D45" s="245"/>
      <c r="F45" s="1"/>
      <c r="G45" s="1"/>
      <c r="H45" s="1"/>
      <c r="I45" s="1"/>
      <c r="AC45" s="1"/>
    </row>
    <row r="46" customHeight="1" spans="1:9">
      <c r="A46" s="246"/>
      <c r="B46" s="247"/>
      <c r="C46" s="247"/>
      <c r="D46" s="248"/>
      <c r="F46" s="1"/>
      <c r="G46" s="1"/>
      <c r="H46" s="1"/>
      <c r="I46" s="1"/>
    </row>
    <row r="47" customHeight="1" spans="1:9">
      <c r="A47" s="106" t="s">
        <v>2048</v>
      </c>
      <c r="F47" s="1"/>
      <c r="G47" s="1"/>
      <c r="H47" s="1"/>
      <c r="I47" s="1"/>
    </row>
    <row r="48" customHeight="1" spans="6:9">
      <c r="F48" s="1"/>
      <c r="G48" s="1"/>
      <c r="H48" s="1"/>
      <c r="I48" s="1"/>
    </row>
    <row r="49" customHeight="1" spans="6:29">
      <c r="F49" s="1"/>
      <c r="G49" s="1"/>
      <c r="H49" s="1"/>
      <c r="I49" s="1"/>
      <c r="AC49" s="1"/>
    </row>
    <row r="50" customHeight="1" spans="6:29">
      <c r="F50" s="1"/>
      <c r="G50" s="1"/>
      <c r="H50" s="1"/>
      <c r="I50" s="1"/>
      <c r="AC50" s="1"/>
    </row>
    <row r="51" customHeight="1" spans="6:29">
      <c r="F51" s="82" t="s">
        <v>2092</v>
      </c>
      <c r="G51" s="209"/>
      <c r="AC51" s="1"/>
    </row>
    <row r="52" customHeight="1" spans="7:29">
      <c r="G52" s="209"/>
      <c r="AC52" s="1"/>
    </row>
    <row r="53" customHeight="1" spans="7:29">
      <c r="G53" s="209"/>
      <c r="M53" s="1"/>
      <c r="AC53" s="1"/>
    </row>
    <row r="54" customHeight="1" spans="6:29">
      <c r="F54" s="1"/>
      <c r="G54" s="1"/>
      <c r="H54" s="1"/>
      <c r="I54" s="1"/>
      <c r="J54" s="1"/>
      <c r="K54" s="1"/>
      <c r="L54" s="1"/>
      <c r="M54" s="1"/>
      <c r="AC54" s="1"/>
    </row>
    <row r="55" customHeight="1" spans="6:29">
      <c r="F55" s="1"/>
      <c r="G55" s="1"/>
      <c r="H55" s="1"/>
      <c r="I55" s="1"/>
      <c r="J55" s="1"/>
      <c r="K55" s="1"/>
      <c r="L55" s="1"/>
      <c r="M55" s="1"/>
      <c r="AC55" s="1"/>
    </row>
    <row r="56" customHeight="1" spans="6:29">
      <c r="F56" s="1"/>
      <c r="G56" s="1"/>
      <c r="H56" s="1"/>
      <c r="I56" s="1"/>
      <c r="J56" s="1"/>
      <c r="K56" s="1"/>
      <c r="L56" s="1"/>
      <c r="M56" s="1"/>
      <c r="AC56" s="1"/>
    </row>
    <row r="57" customHeight="1" spans="6:29">
      <c r="F57" s="1"/>
      <c r="G57" s="1"/>
      <c r="H57" s="1"/>
      <c r="I57" s="1"/>
      <c r="J57" s="1"/>
      <c r="K57" s="1"/>
      <c r="L57" s="1"/>
      <c r="M57" s="1"/>
      <c r="AC57" s="1"/>
    </row>
    <row r="58" customHeight="1" spans="1:29">
      <c r="A58" s="82" t="s">
        <v>2093</v>
      </c>
      <c r="F58" s="1"/>
      <c r="G58" s="1"/>
      <c r="H58" s="1"/>
      <c r="I58" s="1"/>
      <c r="J58" s="1"/>
      <c r="K58" s="1"/>
      <c r="L58" s="1"/>
      <c r="M58" s="1"/>
      <c r="AC58" s="1"/>
    </row>
    <row r="59" customHeight="1" spans="6:29">
      <c r="F59" s="1"/>
      <c r="G59" s="1"/>
      <c r="H59" s="1"/>
      <c r="I59" s="1"/>
      <c r="J59" s="222"/>
      <c r="K59" s="1"/>
      <c r="L59" s="1"/>
      <c r="M59" s="1"/>
      <c r="AC59" s="1"/>
    </row>
    <row r="60" customHeight="1" spans="6:29">
      <c r="F60" s="1"/>
      <c r="G60" s="1"/>
      <c r="H60" s="1"/>
      <c r="I60" s="1"/>
      <c r="J60" s="222"/>
      <c r="K60" s="1"/>
      <c r="L60" s="1"/>
      <c r="M60" s="1"/>
      <c r="AC60" s="1"/>
    </row>
    <row r="61" customHeight="1" spans="6:29">
      <c r="F61" s="1"/>
      <c r="G61" s="1"/>
      <c r="H61" s="1"/>
      <c r="I61" s="1"/>
      <c r="J61" s="222"/>
      <c r="K61" s="1"/>
      <c r="L61" s="1"/>
      <c r="M61" s="1"/>
      <c r="AC61" s="1"/>
    </row>
    <row r="62" customHeight="1" spans="9:29">
      <c r="I62" s="1"/>
      <c r="J62" s="222"/>
      <c r="K62" s="1"/>
      <c r="L62" s="1"/>
      <c r="M62" s="1"/>
      <c r="AC62" s="1"/>
    </row>
    <row r="63" customHeight="1" spans="1:29">
      <c r="A63" s="82" t="s">
        <v>2094</v>
      </c>
      <c r="I63" s="222"/>
      <c r="J63" s="222"/>
      <c r="K63" s="1"/>
      <c r="L63" s="1"/>
      <c r="M63" s="1"/>
      <c r="AC63" s="1"/>
    </row>
    <row r="64" customHeight="1" spans="10:29">
      <c r="J64" s="1"/>
      <c r="K64" s="1"/>
      <c r="L64" s="1"/>
      <c r="M64" s="1"/>
      <c r="AC64" s="1"/>
    </row>
    <row r="65" customHeight="1" spans="10:29">
      <c r="J65" s="1"/>
      <c r="K65" s="1"/>
      <c r="L65" s="1"/>
      <c r="M65" s="1"/>
      <c r="AC65" s="1"/>
    </row>
    <row r="66" customHeight="1" spans="6:29">
      <c r="F66" s="1"/>
      <c r="G66" s="1"/>
      <c r="H66" s="1"/>
      <c r="I66" s="1"/>
      <c r="J66" s="1"/>
      <c r="K66" s="1"/>
      <c r="L66" s="1"/>
      <c r="M66" s="1"/>
      <c r="AC66" s="1"/>
    </row>
    <row r="67" customHeight="1" spans="6:13">
      <c r="F67" s="1"/>
      <c r="G67" s="1"/>
      <c r="H67" s="1"/>
      <c r="I67" s="1"/>
      <c r="J67" s="1"/>
      <c r="K67" s="1"/>
      <c r="L67" s="1"/>
      <c r="M67" s="1"/>
    </row>
    <row r="68" customHeight="1" spans="6:13">
      <c r="F68" s="1"/>
      <c r="G68" s="1"/>
      <c r="H68" s="1"/>
      <c r="I68" s="1"/>
      <c r="J68" s="1"/>
      <c r="K68" s="1"/>
      <c r="L68" s="1"/>
      <c r="M68" s="1"/>
    </row>
    <row r="69" customHeight="1" spans="6:13">
      <c r="F69" s="1"/>
      <c r="G69" s="1"/>
      <c r="H69" s="1"/>
      <c r="I69" s="1"/>
      <c r="J69" s="1"/>
      <c r="K69" s="1"/>
      <c r="L69" s="1"/>
      <c r="M69" s="1"/>
    </row>
    <row r="70" customHeight="1" spans="6:13">
      <c r="F70" s="1"/>
      <c r="G70" s="1"/>
      <c r="H70" s="1"/>
      <c r="I70" s="1"/>
      <c r="J70" s="1"/>
      <c r="K70" s="1"/>
      <c r="L70" s="1"/>
      <c r="M70" s="1"/>
    </row>
    <row r="71" customHeight="1" spans="10:13">
      <c r="J71" s="1"/>
      <c r="K71" s="1"/>
      <c r="L71" s="1"/>
      <c r="M71" s="1"/>
    </row>
    <row r="72" customHeight="1" spans="10:13">
      <c r="J72" s="1"/>
      <c r="K72" s="1"/>
      <c r="L72" s="1"/>
      <c r="M72" s="1"/>
    </row>
    <row r="73" customHeight="1" spans="10:12">
      <c r="J73" s="1"/>
      <c r="K73" s="1"/>
      <c r="L73" s="1"/>
    </row>
    <row r="74" customHeight="1" spans="10:11">
      <c r="J74" s="1"/>
      <c r="K74" s="1"/>
    </row>
    <row r="75" customHeight="1" spans="10:11">
      <c r="J75" s="1"/>
      <c r="K75" s="1"/>
    </row>
    <row r="76" customHeight="1" spans="10:11">
      <c r="J76" s="1"/>
      <c r="K76" s="1"/>
    </row>
    <row r="77" customHeight="1" spans="11:11">
      <c r="K77" s="1"/>
    </row>
  </sheetData>
  <customSheetViews>
    <customSheetView guid="{27B96A40-A6B2-43F7-A93C-713F4207CB2A}">
      <selection activeCell="H16" sqref="H16"/>
      <pageMargins left="0.7" right="0.7" top="0.75" bottom="0.75" header="0.3" footer="0.3"/>
      <pageSetup paperSize="9" orientation="portrait"/>
      <headerFooter/>
    </customSheetView>
  </customSheetViews>
  <mergeCells count="7">
    <mergeCell ref="A1:D1"/>
    <mergeCell ref="A4:A14"/>
    <mergeCell ref="A15:A22"/>
    <mergeCell ref="A31:A32"/>
    <mergeCell ref="D31:D32"/>
    <mergeCell ref="A43:D46"/>
    <mergeCell ref="A34:D42"/>
  </mergeCells>
  <dataValidations count="2">
    <dataValidation type="list" allowBlank="1" showInputMessage="1" showErrorMessage="1" prompt="请选择" sqref="C4">
      <formula1>"水平,竖直"</formula1>
    </dataValidation>
    <dataValidation type="list" allowBlank="1" showInputMessage="1" showErrorMessage="1" prompt="请选择" sqref="C5">
      <formula1>"滚珠,滚柱,免润滑"</formula1>
    </dataValidation>
  </dataValidations>
  <pageMargins left="0.7" right="0.7" top="0.75" bottom="0.75" header="0.3" footer="0.3"/>
  <pageSetup paperSize="9" orientation="portrait"/>
  <headerFooter/>
  <drawing r:id="rId1"/>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91"/>
  <sheetViews>
    <sheetView workbookViewId="0">
      <selection activeCell="B8" sqref="B8"/>
    </sheetView>
  </sheetViews>
  <sheetFormatPr defaultColWidth="15.625" defaultRowHeight="20.1" customHeight="1"/>
  <cols>
    <col min="1" max="1" width="14.875" style="82" customWidth="1"/>
    <col min="2" max="2" width="24.25" style="82" customWidth="1"/>
    <col min="3" max="3" width="13.875" style="83" customWidth="1"/>
    <col min="4" max="4" width="17.5" style="82" customWidth="1"/>
    <col min="5" max="5" width="8.625" style="82" customWidth="1"/>
    <col min="6" max="6" width="14.375" style="82" customWidth="1"/>
    <col min="7" max="7" width="13.25" style="82" customWidth="1"/>
    <col min="8" max="9" width="10.625" style="82" customWidth="1"/>
    <col min="10" max="10" width="13.375" style="82" customWidth="1"/>
    <col min="11" max="11" width="10" style="82" customWidth="1"/>
    <col min="12" max="12" width="7.625" style="82" customWidth="1"/>
    <col min="13" max="13" width="7.125" style="82" customWidth="1"/>
    <col min="14" max="15" width="8.5" style="82" customWidth="1"/>
    <col min="16" max="20" width="10.625" style="82" customWidth="1"/>
    <col min="21" max="27" width="8.625" style="82" customWidth="1"/>
    <col min="28" max="16384" width="15.625" style="82"/>
  </cols>
  <sheetData>
    <row r="1" ht="21.95" customHeight="1" spans="1:13">
      <c r="A1" s="124" t="s">
        <v>2102</v>
      </c>
      <c r="B1" s="125"/>
      <c r="C1" s="125"/>
      <c r="D1" s="125"/>
      <c r="F1" s="146"/>
      <c r="G1" s="1"/>
      <c r="H1" s="1"/>
      <c r="M1" s="106"/>
    </row>
    <row r="2" customHeight="1" spans="1:30">
      <c r="A2" s="9" t="s">
        <v>269</v>
      </c>
      <c r="B2" s="9" t="s">
        <v>270</v>
      </c>
      <c r="C2" s="32" t="s">
        <v>271</v>
      </c>
      <c r="D2" s="9" t="s">
        <v>272</v>
      </c>
      <c r="F2" s="106"/>
      <c r="G2" s="1"/>
      <c r="H2" s="1"/>
      <c r="I2" s="1"/>
      <c r="T2" s="114"/>
      <c r="V2" s="115"/>
      <c r="W2" s="115"/>
      <c r="X2" s="115"/>
      <c r="Y2" s="115"/>
      <c r="Z2" s="115"/>
      <c r="AA2" s="115"/>
      <c r="AB2" s="115"/>
      <c r="AC2" s="115"/>
      <c r="AD2" s="115"/>
    </row>
    <row r="3" customHeight="1" spans="1:30">
      <c r="A3" s="100" t="s">
        <v>1083</v>
      </c>
      <c r="B3" s="9" t="s">
        <v>2103</v>
      </c>
      <c r="C3" s="91">
        <v>25</v>
      </c>
      <c r="D3" s="9"/>
      <c r="F3" s="1"/>
      <c r="G3" s="1"/>
      <c r="H3" s="1"/>
      <c r="I3" s="1"/>
      <c r="T3" s="114"/>
      <c r="V3" s="115"/>
      <c r="W3" s="115"/>
      <c r="X3" s="115"/>
      <c r="Y3" s="115"/>
      <c r="Z3" s="115"/>
      <c r="AA3" s="115"/>
      <c r="AB3" s="115"/>
      <c r="AC3" s="115"/>
      <c r="AD3" s="115"/>
    </row>
    <row r="4" customHeight="1" spans="1:30">
      <c r="A4" s="101"/>
      <c r="B4" s="9" t="s">
        <v>2104</v>
      </c>
      <c r="C4" s="91">
        <v>5</v>
      </c>
      <c r="D4" s="9"/>
      <c r="F4" s="1"/>
      <c r="G4" s="1"/>
      <c r="H4" s="1"/>
      <c r="I4" s="1"/>
      <c r="T4" s="114"/>
      <c r="W4" s="1"/>
      <c r="X4" s="1"/>
      <c r="Y4" s="1"/>
      <c r="Z4" s="1"/>
      <c r="AA4" s="1"/>
      <c r="AB4" s="1"/>
      <c r="AC4" s="1"/>
      <c r="AD4" s="1"/>
    </row>
    <row r="5" customHeight="1" spans="1:31">
      <c r="A5" s="101"/>
      <c r="B5" s="9" t="s">
        <v>2105</v>
      </c>
      <c r="C5" s="185">
        <f>C3+C4</f>
        <v>30</v>
      </c>
      <c r="D5" s="92"/>
      <c r="F5" s="1"/>
      <c r="G5" s="1"/>
      <c r="H5" s="1"/>
      <c r="I5" s="1"/>
      <c r="T5" s="114"/>
      <c r="W5" s="114"/>
      <c r="X5" s="114"/>
      <c r="Y5" s="114"/>
      <c r="Z5" s="114"/>
      <c r="AA5" s="114"/>
      <c r="AB5" s="114"/>
      <c r="AC5" s="114"/>
      <c r="AD5" s="114"/>
      <c r="AE5" s="1"/>
    </row>
    <row r="6" customHeight="1" spans="1:31">
      <c r="A6" s="101"/>
      <c r="B6" s="9" t="s">
        <v>2106</v>
      </c>
      <c r="C6" s="91">
        <v>350</v>
      </c>
      <c r="D6" s="92" t="s">
        <v>2020</v>
      </c>
      <c r="F6" s="1"/>
      <c r="G6" s="1"/>
      <c r="H6" s="1"/>
      <c r="I6" s="1"/>
      <c r="T6" s="114"/>
      <c r="W6" s="114"/>
      <c r="X6" s="114"/>
      <c r="Y6" s="114"/>
      <c r="Z6" s="114"/>
      <c r="AE6" s="114"/>
    </row>
    <row r="7" customHeight="1" spans="1:29">
      <c r="A7" s="101"/>
      <c r="B7" s="9" t="s">
        <v>2059</v>
      </c>
      <c r="C7" s="91">
        <v>0.15</v>
      </c>
      <c r="D7" s="9" t="s">
        <v>2060</v>
      </c>
      <c r="F7" s="1"/>
      <c r="G7" s="1"/>
      <c r="H7" s="1"/>
      <c r="I7" s="1"/>
      <c r="T7" s="114"/>
      <c r="V7" s="114"/>
      <c r="W7" s="114"/>
      <c r="X7" s="114"/>
      <c r="Y7" s="114"/>
      <c r="Z7" s="114"/>
      <c r="AA7" s="114"/>
      <c r="AB7" s="114"/>
      <c r="AC7" s="114"/>
    </row>
    <row r="8" customHeight="1" spans="1:30">
      <c r="A8" s="101"/>
      <c r="B8" s="9" t="s">
        <v>2061</v>
      </c>
      <c r="C8" s="91">
        <v>0.15</v>
      </c>
      <c r="D8" s="9" t="s">
        <v>1517</v>
      </c>
      <c r="F8" s="1"/>
      <c r="G8" s="1"/>
      <c r="H8" s="1"/>
      <c r="I8" s="1"/>
      <c r="T8" s="114"/>
      <c r="V8" s="114"/>
      <c r="W8" s="114"/>
      <c r="X8" s="114"/>
      <c r="Y8" s="114"/>
      <c r="Z8" s="114"/>
      <c r="AA8" s="114"/>
      <c r="AB8" s="114"/>
      <c r="AC8" s="114"/>
      <c r="AD8" s="114"/>
    </row>
    <row r="9" customHeight="1" spans="1:23">
      <c r="A9" s="101"/>
      <c r="B9" s="9" t="s">
        <v>2021</v>
      </c>
      <c r="C9" s="91">
        <v>15</v>
      </c>
      <c r="D9" s="9"/>
      <c r="F9" s="1"/>
      <c r="G9" s="1"/>
      <c r="H9" s="1"/>
      <c r="I9" s="1"/>
      <c r="T9" s="114"/>
      <c r="V9" s="114"/>
      <c r="W9" s="114"/>
    </row>
    <row r="10" customHeight="1" spans="1:20">
      <c r="A10" s="101"/>
      <c r="B10" s="9" t="s">
        <v>2107</v>
      </c>
      <c r="C10" s="185">
        <f>60/C9</f>
        <v>4</v>
      </c>
      <c r="D10" s="9" t="s">
        <v>2108</v>
      </c>
      <c r="F10" s="1"/>
      <c r="G10" s="1"/>
      <c r="H10" s="1"/>
      <c r="I10" s="1"/>
      <c r="T10" s="114"/>
    </row>
    <row r="11" customHeight="1" spans="1:20">
      <c r="A11" s="101"/>
      <c r="B11" s="9" t="s">
        <v>2109</v>
      </c>
      <c r="C11" s="91">
        <v>1</v>
      </c>
      <c r="D11" s="92" t="s">
        <v>2064</v>
      </c>
      <c r="F11" s="1"/>
      <c r="G11" s="1"/>
      <c r="H11" s="1"/>
      <c r="I11" s="1"/>
      <c r="T11" s="114"/>
    </row>
    <row r="12" customHeight="1" spans="1:27">
      <c r="A12" s="101"/>
      <c r="B12" s="9" t="s">
        <v>2110</v>
      </c>
      <c r="C12" s="91">
        <v>0.15</v>
      </c>
      <c r="D12" s="92" t="s">
        <v>2111</v>
      </c>
      <c r="F12" s="1"/>
      <c r="G12" s="1"/>
      <c r="H12" s="1"/>
      <c r="I12" s="1"/>
      <c r="T12" s="114"/>
      <c r="U12" s="114"/>
      <c r="AA12" s="1"/>
    </row>
    <row r="13" customHeight="1" spans="1:27">
      <c r="A13" s="101"/>
      <c r="B13" s="200" t="s">
        <v>2112</v>
      </c>
      <c r="C13" s="91">
        <v>0.3</v>
      </c>
      <c r="D13" s="100" t="str">
        <f>"每"&amp;C14&amp;"mm精度"&amp;"±"&amp;C13</f>
        <v>每350mm精度±0.3</v>
      </c>
      <c r="F13" s="1"/>
      <c r="G13" s="1"/>
      <c r="H13" s="1"/>
      <c r="I13" s="1"/>
      <c r="T13" s="114"/>
      <c r="AA13" s="1"/>
    </row>
    <row r="14" customHeight="1" spans="1:27">
      <c r="A14" s="101"/>
      <c r="B14" s="201"/>
      <c r="C14" s="91">
        <v>350</v>
      </c>
      <c r="D14" s="110"/>
      <c r="F14" s="1"/>
      <c r="G14" s="1"/>
      <c r="H14" s="1"/>
      <c r="I14" s="1"/>
      <c r="T14" s="114"/>
      <c r="U14" s="114"/>
      <c r="AA14" s="1"/>
    </row>
    <row r="15" customHeight="1" spans="1:27">
      <c r="A15" s="101"/>
      <c r="B15" s="9" t="s">
        <v>2113</v>
      </c>
      <c r="C15" s="91">
        <v>0.02</v>
      </c>
      <c r="D15" s="92"/>
      <c r="F15" s="1" t="s">
        <v>2114</v>
      </c>
      <c r="G15" s="1"/>
      <c r="H15" s="1" t="s">
        <v>2115</v>
      </c>
      <c r="I15" s="1"/>
      <c r="J15" s="1"/>
      <c r="K15" s="1"/>
      <c r="L15" s="1"/>
      <c r="M15" s="1"/>
      <c r="AA15" s="1"/>
    </row>
    <row r="16" customHeight="1" spans="1:27">
      <c r="A16" s="101"/>
      <c r="B16" s="9" t="s">
        <v>2116</v>
      </c>
      <c r="C16" s="91">
        <v>15</v>
      </c>
      <c r="D16" s="92"/>
      <c r="F16" s="1"/>
      <c r="G16" s="1"/>
      <c r="H16" s="1"/>
      <c r="I16" s="1"/>
      <c r="J16" s="1"/>
      <c r="K16" s="1"/>
      <c r="L16" s="1"/>
      <c r="M16" s="1"/>
      <c r="AA16" s="1"/>
    </row>
    <row r="17" customHeight="1" spans="1:27">
      <c r="A17" s="101"/>
      <c r="B17" s="9" t="s">
        <v>2117</v>
      </c>
      <c r="C17" s="91">
        <v>30</v>
      </c>
      <c r="D17" s="92" t="s">
        <v>2118</v>
      </c>
      <c r="F17" s="1"/>
      <c r="G17" s="1"/>
      <c r="H17" s="1"/>
      <c r="I17" s="1"/>
      <c r="J17" s="1"/>
      <c r="K17" s="1"/>
      <c r="L17" s="1"/>
      <c r="M17" s="1"/>
      <c r="AA17" s="1"/>
    </row>
    <row r="18" customHeight="1" spans="1:25">
      <c r="A18" s="101"/>
      <c r="B18" s="9" t="s">
        <v>2119</v>
      </c>
      <c r="C18" s="91">
        <v>1</v>
      </c>
      <c r="D18" s="92" t="s">
        <v>2120</v>
      </c>
      <c r="F18" s="1"/>
      <c r="G18" s="1"/>
      <c r="H18" s="1"/>
      <c r="I18" s="1"/>
      <c r="J18" s="1"/>
      <c r="K18" s="1"/>
      <c r="L18" s="1"/>
      <c r="M18" s="1"/>
      <c r="Y18" s="1"/>
    </row>
    <row r="19" customHeight="1" spans="1:25">
      <c r="A19" s="110"/>
      <c r="B19" s="9" t="s">
        <v>2121</v>
      </c>
      <c r="C19" s="91">
        <v>0.9</v>
      </c>
      <c r="D19" s="92"/>
      <c r="F19" s="1"/>
      <c r="G19" s="1"/>
      <c r="H19" s="1"/>
      <c r="I19" s="1"/>
      <c r="J19" s="1"/>
      <c r="K19" s="1"/>
      <c r="L19" s="1"/>
      <c r="Y19" s="1"/>
    </row>
    <row r="20" customHeight="1" spans="1:25">
      <c r="A20" s="4" t="s">
        <v>2122</v>
      </c>
      <c r="B20" s="200" t="s">
        <v>2123</v>
      </c>
      <c r="C20" s="185">
        <f>ROUND(C13*C21/C14,2)</f>
        <v>0.26</v>
      </c>
      <c r="D20" s="29" t="str">
        <f>C20*1000&amp;"um"</f>
        <v>260um</v>
      </c>
      <c r="F20" s="1"/>
      <c r="G20" s="1"/>
      <c r="H20" s="1"/>
      <c r="I20" s="1"/>
      <c r="Y20" s="1"/>
    </row>
    <row r="21" customHeight="1" spans="1:25">
      <c r="A21" s="4"/>
      <c r="B21" s="201"/>
      <c r="C21" s="91">
        <v>300</v>
      </c>
      <c r="D21" s="29" t="str">
        <f>"每"&amp;C21&amp;"mm精度"&amp;"±"&amp;C20</f>
        <v>每300mm精度±0.26</v>
      </c>
      <c r="F21" s="1"/>
      <c r="G21" s="1"/>
      <c r="H21" s="1"/>
      <c r="I21" s="1"/>
      <c r="Y21" s="1"/>
    </row>
    <row r="22" customHeight="1" spans="1:25">
      <c r="A22" s="4"/>
      <c r="B22" s="202" t="s">
        <v>2124</v>
      </c>
      <c r="C22" s="151" t="s">
        <v>2125</v>
      </c>
      <c r="D22" s="110" t="s">
        <v>901</v>
      </c>
      <c r="F22" s="1"/>
      <c r="G22" s="1"/>
      <c r="H22" s="1"/>
      <c r="I22" s="1"/>
      <c r="Y22" s="1"/>
    </row>
    <row r="23" customHeight="1" spans="1:25">
      <c r="A23" s="4"/>
      <c r="B23" s="202" t="s">
        <v>2126</v>
      </c>
      <c r="C23" s="151" t="s">
        <v>2127</v>
      </c>
      <c r="D23" s="110" t="s">
        <v>901</v>
      </c>
      <c r="F23" s="1"/>
      <c r="G23" s="1"/>
      <c r="H23" s="1"/>
      <c r="I23" s="1"/>
      <c r="Y23" s="1"/>
    </row>
    <row r="24" customHeight="1" spans="1:25">
      <c r="A24" s="4" t="s">
        <v>2128</v>
      </c>
      <c r="B24" s="9" t="s">
        <v>2129</v>
      </c>
      <c r="C24" s="97">
        <f>2*C6/(C10-2*C11-C7-C8)/1000</f>
        <v>0.411764705882353</v>
      </c>
      <c r="D24" s="9"/>
      <c r="F24" s="1"/>
      <c r="G24" s="1"/>
      <c r="H24" s="1"/>
      <c r="I24" s="1"/>
      <c r="Y24" s="1"/>
    </row>
    <row r="25" customHeight="1" spans="1:24">
      <c r="A25" s="4"/>
      <c r="B25" s="9" t="s">
        <v>2130</v>
      </c>
      <c r="C25" s="94">
        <v>3000</v>
      </c>
      <c r="D25" s="9" t="s">
        <v>2131</v>
      </c>
      <c r="F25" s="1"/>
      <c r="G25" s="1"/>
      <c r="H25" s="1"/>
      <c r="I25" s="1"/>
      <c r="X25" s="1"/>
    </row>
    <row r="26" customHeight="1" spans="1:24">
      <c r="A26" s="4"/>
      <c r="B26" s="9" t="s">
        <v>2132</v>
      </c>
      <c r="C26" s="32">
        <f>C25/C18</f>
        <v>3000</v>
      </c>
      <c r="D26" s="9" t="s">
        <v>2133</v>
      </c>
      <c r="F26" s="1"/>
      <c r="G26" s="1"/>
      <c r="H26" s="1"/>
      <c r="I26" s="1"/>
      <c r="X26" s="1"/>
    </row>
    <row r="27" customHeight="1" spans="1:24">
      <c r="A27" s="4"/>
      <c r="B27" s="9" t="s">
        <v>2134</v>
      </c>
      <c r="C27" s="97">
        <f>C24*1000*60/C26</f>
        <v>8.23529411764706</v>
      </c>
      <c r="D27" s="9" t="s">
        <v>2135</v>
      </c>
      <c r="F27" s="1"/>
      <c r="G27" s="1"/>
      <c r="H27" s="1"/>
      <c r="I27" s="1"/>
      <c r="X27" s="1"/>
    </row>
    <row r="28" customHeight="1" spans="1:24">
      <c r="A28" s="4"/>
      <c r="B28" s="9" t="s">
        <v>2110</v>
      </c>
      <c r="C28" s="32">
        <f>C12</f>
        <v>0.15</v>
      </c>
      <c r="D28" s="92" t="s">
        <v>2111</v>
      </c>
      <c r="F28" s="1"/>
      <c r="G28" s="1"/>
      <c r="H28" s="1"/>
      <c r="I28" s="1"/>
      <c r="X28" s="1"/>
    </row>
    <row r="29" customHeight="1" spans="1:24">
      <c r="A29" s="4"/>
      <c r="B29" s="9" t="s">
        <v>2136</v>
      </c>
      <c r="C29" s="203">
        <v>32</v>
      </c>
      <c r="D29" s="95" t="s">
        <v>297</v>
      </c>
      <c r="F29" s="1"/>
      <c r="G29" s="1"/>
      <c r="H29" s="1"/>
      <c r="I29" s="1"/>
      <c r="X29" s="1"/>
    </row>
    <row r="30" customHeight="1" spans="1:24">
      <c r="A30" s="4"/>
      <c r="B30" s="9" t="s">
        <v>2137</v>
      </c>
      <c r="C30" s="204">
        <v>20</v>
      </c>
      <c r="D30" s="95" t="s">
        <v>521</v>
      </c>
      <c r="F30" s="1"/>
      <c r="G30" s="1"/>
      <c r="H30" s="1"/>
      <c r="I30" s="1"/>
      <c r="X30" s="1"/>
    </row>
    <row r="31" customHeight="1" spans="1:24">
      <c r="A31" s="4"/>
      <c r="B31" s="9" t="s">
        <v>2138</v>
      </c>
      <c r="C31" s="204">
        <v>10</v>
      </c>
      <c r="D31" s="95" t="s">
        <v>521</v>
      </c>
      <c r="F31" s="1"/>
      <c r="G31" s="1"/>
      <c r="H31" s="1"/>
      <c r="I31" s="1"/>
      <c r="X31" s="1"/>
    </row>
    <row r="32" customHeight="1" spans="1:24">
      <c r="A32" s="4"/>
      <c r="B32" s="9" t="s">
        <v>2139</v>
      </c>
      <c r="C32" s="204">
        <v>17.5</v>
      </c>
      <c r="D32" s="95" t="s">
        <v>408</v>
      </c>
      <c r="F32" s="1"/>
      <c r="G32" s="1"/>
      <c r="H32" s="1"/>
      <c r="I32" s="1"/>
      <c r="X32" s="1"/>
    </row>
    <row r="33" customHeight="1" spans="1:25">
      <c r="A33" s="4"/>
      <c r="B33" s="9" t="s">
        <v>2140</v>
      </c>
      <c r="C33" s="204">
        <v>20.75</v>
      </c>
      <c r="D33" s="95" t="s">
        <v>408</v>
      </c>
      <c r="F33" s="1"/>
      <c r="G33" s="1"/>
      <c r="H33" s="1"/>
      <c r="I33" s="1"/>
      <c r="X33" s="1"/>
      <c r="Y33" s="1"/>
    </row>
    <row r="34" customHeight="1" spans="1:29">
      <c r="A34" s="4" t="s">
        <v>2141</v>
      </c>
      <c r="B34" s="92" t="s">
        <v>2142</v>
      </c>
      <c r="C34" s="151" t="s">
        <v>2143</v>
      </c>
      <c r="D34" s="92" t="s">
        <v>2144</v>
      </c>
      <c r="F34" s="1"/>
      <c r="G34" s="1"/>
      <c r="H34" s="1"/>
      <c r="I34" s="1"/>
      <c r="X34" s="1"/>
      <c r="AC34" s="1"/>
    </row>
    <row r="35" customHeight="1" spans="1:29">
      <c r="A35" s="4"/>
      <c r="B35" s="9" t="s">
        <v>2145</v>
      </c>
      <c r="C35" s="94">
        <v>550</v>
      </c>
      <c r="D35" s="92" t="s">
        <v>2146</v>
      </c>
      <c r="F35" s="1"/>
      <c r="G35" s="1"/>
      <c r="H35" s="1"/>
      <c r="I35" s="1"/>
      <c r="X35" s="1"/>
      <c r="AC35" s="1"/>
    </row>
    <row r="36" customHeight="1" spans="1:29">
      <c r="A36" s="4"/>
      <c r="B36" s="9" t="s">
        <v>2147</v>
      </c>
      <c r="C36" s="98">
        <f>IF(C34="固定—自由",1.875,IF(C34="固定—支撑",3.927,IF(C34="固定—固定",4.73,IF(C34="支撑—支撑",3.142,"请选择安装方式"))))</f>
        <v>3.142</v>
      </c>
      <c r="D36" s="9"/>
      <c r="F36" s="1"/>
      <c r="G36" s="1"/>
      <c r="H36" s="1"/>
      <c r="I36" s="1"/>
      <c r="AC36" s="1"/>
    </row>
    <row r="37" customHeight="1" spans="1:29">
      <c r="A37" s="4"/>
      <c r="B37" s="9" t="s">
        <v>2148</v>
      </c>
      <c r="C37" s="98">
        <f>IF(C34="固定—自由",3.4,IF(C34="固定—支撑",15.1,IF(C34="固定—固定",21.9,IF(C34="支撑—支撑",9.7,"请选择安装方式"))))</f>
        <v>9.7</v>
      </c>
      <c r="D37" s="9"/>
      <c r="F37" s="1"/>
      <c r="G37" s="1"/>
      <c r="H37" s="1"/>
      <c r="I37" s="1"/>
      <c r="AC37" s="1"/>
    </row>
    <row r="38" customHeight="1" spans="1:29">
      <c r="A38" s="4"/>
      <c r="B38" s="9" t="s">
        <v>2149</v>
      </c>
      <c r="C38" s="98">
        <f>IF(C34="固定—自由",0.25,IF(C34="固定—支撑",2,IF(C34="固定—固定",4,IF(C34="支撑—支撑",1,"请选择安装方式"))))</f>
        <v>1</v>
      </c>
      <c r="D38" s="9"/>
      <c r="F38" s="82" t="s">
        <v>2150</v>
      </c>
      <c r="I38" s="82" t="s">
        <v>2151</v>
      </c>
      <c r="R38" s="82" t="s">
        <v>2152</v>
      </c>
      <c r="AC38" s="1"/>
    </row>
    <row r="39" customHeight="1" spans="1:29">
      <c r="A39" s="4"/>
      <c r="B39" s="9" t="s">
        <v>2153</v>
      </c>
      <c r="C39" s="98">
        <f>IF(C34="固定—自由",1.3,IF(C34="固定—支撑",10,IF(C34="固定—固定",20,IF(C34="支撑—支撑",5,"请选择安装方式"))))</f>
        <v>5</v>
      </c>
      <c r="D39" s="9"/>
      <c r="I39" s="1"/>
      <c r="AC39" s="1"/>
    </row>
    <row r="40" customHeight="1" spans="1:29">
      <c r="A40" s="4" t="s">
        <v>2154</v>
      </c>
      <c r="B40" s="9" t="s">
        <v>1522</v>
      </c>
      <c r="C40" s="97">
        <f>C24/C7</f>
        <v>2.74509803921569</v>
      </c>
      <c r="D40" s="9"/>
      <c r="I40" s="1"/>
      <c r="AC40" s="1"/>
    </row>
    <row r="41" customHeight="1" spans="1:29">
      <c r="A41" s="4"/>
      <c r="B41" s="9" t="s">
        <v>2155</v>
      </c>
      <c r="C41" s="97">
        <f>ROUND(C5*9.8*(SIN(RADIANS(C17))+C15*COS(RADIANS(C17)))+C5*C40+C16,2)</f>
        <v>249.45</v>
      </c>
      <c r="D41" s="9" t="s">
        <v>2156</v>
      </c>
      <c r="I41" s="1"/>
      <c r="X41" s="1"/>
      <c r="AC41" s="1"/>
    </row>
    <row r="42" customHeight="1" spans="1:29">
      <c r="A42" s="4"/>
      <c r="B42" s="9" t="s">
        <v>2157</v>
      </c>
      <c r="C42" s="205">
        <f>ROUND(C39*C32^4/C35^2*10000,2)</f>
        <v>15502.32</v>
      </c>
      <c r="D42" s="9" t="s">
        <v>2158</v>
      </c>
      <c r="I42" s="1"/>
      <c r="X42" s="1"/>
      <c r="AC42" s="1"/>
    </row>
    <row r="43" customHeight="1" spans="1:29">
      <c r="A43" s="4"/>
      <c r="B43" s="206" t="str">
        <f>IF(C41&lt;=C42,"F≤[F]","F＞[F]")</f>
        <v>F≤[F]</v>
      </c>
      <c r="C43" s="207" t="str">
        <f>IF(C41&lt;=C42,"校核合格","不合格，请选更大杆径")</f>
        <v>校核合格</v>
      </c>
      <c r="D43" s="208"/>
      <c r="I43" s="1"/>
      <c r="X43" s="1"/>
      <c r="AC43" s="1"/>
    </row>
    <row r="44" customHeight="1" spans="1:29">
      <c r="A44" s="4" t="s">
        <v>2159</v>
      </c>
      <c r="B44" s="9" t="s">
        <v>2160</v>
      </c>
      <c r="C44" s="98">
        <f>ROUND(C24*1000*60/C31,2)</f>
        <v>2470.59</v>
      </c>
      <c r="D44" s="9" t="s">
        <v>2161</v>
      </c>
      <c r="I44" s="1"/>
      <c r="AC44" s="1"/>
    </row>
    <row r="45" customHeight="1" spans="1:29">
      <c r="A45" s="4"/>
      <c r="B45" s="9" t="s">
        <v>2162</v>
      </c>
      <c r="C45" s="205">
        <f>ROUND(10^7*C37*C32/C35^2,2)</f>
        <v>5611.57</v>
      </c>
      <c r="D45" s="9" t="s">
        <v>2163</v>
      </c>
      <c r="F45" s="82" t="s">
        <v>2164</v>
      </c>
      <c r="G45" s="209"/>
      <c r="I45" s="1"/>
      <c r="AC45" s="1"/>
    </row>
    <row r="46" customHeight="1" spans="1:9">
      <c r="A46" s="4"/>
      <c r="B46" s="9" t="s">
        <v>2165</v>
      </c>
      <c r="C46" s="205">
        <f>ROUND(70000/C33,2)</f>
        <v>3373.49</v>
      </c>
      <c r="D46" s="9" t="s">
        <v>2166</v>
      </c>
      <c r="G46" s="209"/>
      <c r="I46" s="1"/>
    </row>
    <row r="47" customHeight="1" spans="1:9">
      <c r="A47" s="4"/>
      <c r="B47" s="9" t="s">
        <v>2167</v>
      </c>
      <c r="C47" s="205">
        <f>MIN(C45,C46)</f>
        <v>3373.49</v>
      </c>
      <c r="D47" s="9" t="s">
        <v>2168</v>
      </c>
      <c r="G47" s="209"/>
      <c r="I47" s="1"/>
    </row>
    <row r="48" customHeight="1" spans="1:9">
      <c r="A48" s="4"/>
      <c r="B48" s="206" t="str">
        <f>IF(C44&lt;=C47,"n≤[N]","n＞[N]")</f>
        <v>n≤[N]</v>
      </c>
      <c r="C48" s="207" t="str">
        <f>IF(C44&lt;=C47,"校核合格","不合格，请重选杆径")</f>
        <v>校核合格</v>
      </c>
      <c r="D48" s="208"/>
      <c r="F48" s="1"/>
      <c r="G48" s="1"/>
      <c r="H48" s="1"/>
      <c r="I48" s="1"/>
    </row>
    <row r="49" customHeight="1" spans="1:29">
      <c r="A49" s="4" t="s">
        <v>2169</v>
      </c>
      <c r="B49" s="9" t="s">
        <v>2170</v>
      </c>
      <c r="C49" s="206">
        <f>C30</f>
        <v>20</v>
      </c>
      <c r="D49" s="95"/>
      <c r="F49" s="1"/>
      <c r="G49" s="1"/>
      <c r="H49" s="1"/>
      <c r="I49" s="1"/>
      <c r="AC49" s="1"/>
    </row>
    <row r="50" customHeight="1" spans="1:29">
      <c r="A50" s="4"/>
      <c r="B50" s="9" t="s">
        <v>2171</v>
      </c>
      <c r="C50" s="206">
        <f>C31</f>
        <v>10</v>
      </c>
      <c r="D50" s="95"/>
      <c r="F50" s="1"/>
      <c r="G50" s="1"/>
      <c r="H50" s="1"/>
      <c r="I50" s="1"/>
      <c r="AC50" s="1"/>
    </row>
    <row r="51" customHeight="1" spans="1:29">
      <c r="A51" s="4"/>
      <c r="B51" s="92" t="s">
        <v>2172</v>
      </c>
      <c r="C51" s="206" t="s">
        <v>2173</v>
      </c>
      <c r="D51" s="92" t="s">
        <v>1931</v>
      </c>
      <c r="F51" s="1"/>
      <c r="G51" s="1"/>
      <c r="H51" s="1"/>
      <c r="I51" s="1"/>
      <c r="AC51" s="1"/>
    </row>
    <row r="52" customHeight="1" spans="1:29">
      <c r="A52" s="4" t="s">
        <v>2174</v>
      </c>
      <c r="B52" s="92" t="s">
        <v>2175</v>
      </c>
      <c r="C52" s="210" t="s">
        <v>2176</v>
      </c>
      <c r="D52" s="9"/>
      <c r="F52" s="1"/>
      <c r="G52" s="1"/>
      <c r="H52" s="1"/>
      <c r="I52" s="1"/>
      <c r="AC52" s="1"/>
    </row>
    <row r="53" customHeight="1" spans="1:29">
      <c r="A53" s="4"/>
      <c r="B53" s="9" t="s">
        <v>2177</v>
      </c>
      <c r="C53" s="210">
        <v>5.4</v>
      </c>
      <c r="D53" s="9" t="str">
        <f>C53*1000&amp;"N"</f>
        <v>5400N</v>
      </c>
      <c r="F53" s="82" t="s">
        <v>2178</v>
      </c>
      <c r="I53" s="1"/>
      <c r="AC53" s="1"/>
    </row>
    <row r="54" customHeight="1" spans="1:29">
      <c r="A54" s="4"/>
      <c r="B54" s="193" t="s">
        <v>2179</v>
      </c>
      <c r="C54" s="210">
        <v>13.6</v>
      </c>
      <c r="D54" s="9" t="str">
        <f>C54*1000&amp;"N"</f>
        <v>13600N</v>
      </c>
      <c r="F54" s="211" t="s">
        <v>2180</v>
      </c>
      <c r="G54" s="211" t="s">
        <v>2004</v>
      </c>
      <c r="H54" s="211" t="s">
        <v>2181</v>
      </c>
      <c r="I54" s="1"/>
      <c r="AC54" s="1"/>
    </row>
    <row r="55" customHeight="1" spans="1:29">
      <c r="A55" s="4"/>
      <c r="B55" s="212" t="s">
        <v>2182</v>
      </c>
      <c r="C55" s="91">
        <v>2.5</v>
      </c>
      <c r="D55" s="213" t="s">
        <v>2183</v>
      </c>
      <c r="F55" s="211" t="s">
        <v>2184</v>
      </c>
      <c r="G55" s="211" t="s">
        <v>2185</v>
      </c>
      <c r="H55" s="211" t="s">
        <v>2186</v>
      </c>
      <c r="I55" s="1"/>
      <c r="AC55" s="1"/>
    </row>
    <row r="56" customHeight="1" spans="1:29">
      <c r="A56" s="4"/>
      <c r="B56" s="193" t="s">
        <v>2187</v>
      </c>
      <c r="C56" s="32">
        <f>C54/C55*1000</f>
        <v>5440</v>
      </c>
      <c r="D56" s="213"/>
      <c r="F56" s="211"/>
      <c r="G56" s="211" t="s">
        <v>2188</v>
      </c>
      <c r="H56" s="211" t="s">
        <v>2189</v>
      </c>
      <c r="I56" s="1"/>
      <c r="AC56" s="1"/>
    </row>
    <row r="57" customHeight="1" spans="1:29">
      <c r="A57" s="4"/>
      <c r="B57" s="214" t="str">
        <f>IF(C41&lt;=C56,"F≤[C]","F＞[C]")</f>
        <v>F≤[C]</v>
      </c>
      <c r="C57" s="215" t="str">
        <f>IF(C41&lt;=C56,"校核合格","不合格，请重选螺母")</f>
        <v>校核合格</v>
      </c>
      <c r="D57" s="216"/>
      <c r="F57" s="211" t="s">
        <v>2190</v>
      </c>
      <c r="G57" s="211" t="s">
        <v>2185</v>
      </c>
      <c r="H57" s="211" t="s">
        <v>2191</v>
      </c>
      <c r="I57" s="1"/>
      <c r="J57" s="1"/>
      <c r="K57" s="1"/>
      <c r="L57" s="1"/>
      <c r="AC57" s="1"/>
    </row>
    <row r="58" customHeight="1" spans="1:29">
      <c r="A58" s="100" t="s">
        <v>2192</v>
      </c>
      <c r="B58" s="9" t="s">
        <v>2023</v>
      </c>
      <c r="C58" s="91">
        <f>2*8*350*5</f>
        <v>28000</v>
      </c>
      <c r="D58" s="9" t="s">
        <v>2024</v>
      </c>
      <c r="F58" s="211"/>
      <c r="G58" s="211" t="s">
        <v>2188</v>
      </c>
      <c r="H58" s="211" t="s">
        <v>2193</v>
      </c>
      <c r="I58" s="1"/>
      <c r="J58" s="222"/>
      <c r="K58" s="1"/>
      <c r="L58" s="1"/>
      <c r="AC58" s="1"/>
    </row>
    <row r="59" customHeight="1" spans="1:29">
      <c r="A59" s="101"/>
      <c r="B59" s="169" t="s">
        <v>2194</v>
      </c>
      <c r="C59" s="217">
        <f>2*C6*C9/C50</f>
        <v>1050</v>
      </c>
      <c r="D59" s="218"/>
      <c r="F59" s="1"/>
      <c r="G59" s="1"/>
      <c r="H59" s="1"/>
      <c r="I59" s="1"/>
      <c r="J59" s="222"/>
      <c r="K59" s="1"/>
      <c r="L59" s="1"/>
      <c r="AC59" s="1"/>
    </row>
    <row r="60" customHeight="1" spans="1:29">
      <c r="A60" s="101"/>
      <c r="B60" s="219" t="s">
        <v>2195</v>
      </c>
      <c r="C60" s="220">
        <f>C41</f>
        <v>249.45</v>
      </c>
      <c r="D60" s="9" t="s">
        <v>2156</v>
      </c>
      <c r="F60" s="82" t="s">
        <v>2196</v>
      </c>
      <c r="I60" s="1"/>
      <c r="J60" s="222"/>
      <c r="K60" s="1"/>
      <c r="L60" s="1"/>
      <c r="M60" s="1"/>
      <c r="AC60" s="1"/>
    </row>
    <row r="61" customHeight="1" spans="1:29">
      <c r="A61" s="101"/>
      <c r="B61" s="219" t="s">
        <v>2197</v>
      </c>
      <c r="C61" s="221">
        <f>ROUND(C5*9.8*(SIN(RADIANS(C17))+C15*COS(RADIANS(C17)))+C16,2)</f>
        <v>167.09</v>
      </c>
      <c r="D61" s="9" t="s">
        <v>2198</v>
      </c>
      <c r="I61" s="222"/>
      <c r="J61" s="222"/>
      <c r="K61" s="1"/>
      <c r="L61" s="1"/>
      <c r="M61" s="1"/>
      <c r="AC61" s="1"/>
    </row>
    <row r="62" customHeight="1" spans="1:29">
      <c r="A62" s="101"/>
      <c r="B62" s="219" t="s">
        <v>2199</v>
      </c>
      <c r="C62" s="221">
        <f>ROUND(C5*9.8*(SIN(RADIANS(C17))+C15*COS(RADIANS(C17)))-C5*C40+C16,2)</f>
        <v>84.74</v>
      </c>
      <c r="D62" s="9" t="s">
        <v>2200</v>
      </c>
      <c r="J62" s="1"/>
      <c r="K62" s="1"/>
      <c r="L62" s="1"/>
      <c r="M62" s="1"/>
      <c r="AC62" s="1"/>
    </row>
    <row r="63" customHeight="1" spans="1:29">
      <c r="A63" s="101"/>
      <c r="B63" s="219" t="s">
        <v>2201</v>
      </c>
      <c r="C63" s="221">
        <f>ROUND(C5*9.8*(SIN(RADIANS(C17))+C15*COS(RADIANS(C17)))+C5*C40-C16,2)</f>
        <v>219.45</v>
      </c>
      <c r="D63" s="9" t="s">
        <v>2202</v>
      </c>
      <c r="J63" s="1"/>
      <c r="K63" s="1"/>
      <c r="L63" s="1"/>
      <c r="M63" s="1"/>
      <c r="AC63" s="1"/>
    </row>
    <row r="64" customHeight="1" spans="1:29">
      <c r="A64" s="101"/>
      <c r="B64" s="219" t="s">
        <v>2203</v>
      </c>
      <c r="C64" s="221">
        <f>ROUND(C5*9.8*(SIN(RADIANS(C17))+C15*COS(RADIANS(C17)))-C16,2)</f>
        <v>137.09</v>
      </c>
      <c r="D64" s="9" t="s">
        <v>2204</v>
      </c>
      <c r="I64" s="1"/>
      <c r="J64" s="1"/>
      <c r="K64" s="1"/>
      <c r="L64" s="1"/>
      <c r="M64" s="1"/>
      <c r="AC64" s="1"/>
    </row>
    <row r="65" customHeight="1" spans="1:29">
      <c r="A65" s="101"/>
      <c r="B65" s="219" t="s">
        <v>2205</v>
      </c>
      <c r="C65" s="221">
        <f>ROUND(C5*9.8*(SIN(RADIANS(C17))+C15*COS(RADIANS(C17)))-C5*C40-C16,2)</f>
        <v>54.74</v>
      </c>
      <c r="D65" s="9" t="s">
        <v>2206</v>
      </c>
      <c r="I65" s="1"/>
      <c r="J65" s="1"/>
      <c r="K65" s="1"/>
      <c r="L65" s="1"/>
      <c r="M65" s="1"/>
      <c r="AC65" s="1"/>
    </row>
    <row r="66" customHeight="1" spans="1:29">
      <c r="A66" s="101"/>
      <c r="B66" s="219" t="s">
        <v>2207</v>
      </c>
      <c r="C66" s="221">
        <f>ROUND(0.5*C24*C7*1000,2)</f>
        <v>30.88</v>
      </c>
      <c r="D66" s="9"/>
      <c r="I66" s="1"/>
      <c r="J66" s="1"/>
      <c r="K66" s="1"/>
      <c r="L66" s="1"/>
      <c r="M66" s="1"/>
      <c r="AC66" s="1"/>
    </row>
    <row r="67" customHeight="1" spans="1:13">
      <c r="A67" s="101"/>
      <c r="B67" s="219" t="s">
        <v>2208</v>
      </c>
      <c r="C67" s="221">
        <f>ROUND(C24*(C10/2-C7-C8-C11)*1000,2)</f>
        <v>288.24</v>
      </c>
      <c r="D67" s="9"/>
      <c r="I67" s="1"/>
      <c r="J67" s="1"/>
      <c r="K67" s="1"/>
      <c r="L67" s="1"/>
      <c r="M67" s="1"/>
    </row>
    <row r="68" customHeight="1" spans="1:13">
      <c r="A68" s="101"/>
      <c r="B68" s="223" t="s">
        <v>2209</v>
      </c>
      <c r="C68" s="224">
        <f>ROUND((((ABS(C60))^3*C66+(ABS(C61))^3*C67+(ABS(C62))^3*C66)/(4*C66+2*C67))^(1/3),2)</f>
        <v>138.08</v>
      </c>
      <c r="D68" s="225"/>
      <c r="I68" s="1"/>
      <c r="J68" s="1"/>
      <c r="K68" s="1"/>
      <c r="L68" s="1"/>
      <c r="M68" s="1"/>
    </row>
    <row r="69" customHeight="1" spans="1:13">
      <c r="A69" s="101"/>
      <c r="B69" s="193" t="s">
        <v>2210</v>
      </c>
      <c r="C69" s="128">
        <f>ROUND((((ABS(C63))^3*C66+(ABS(C64))^3*C67+(ABS(C65))^3*C66)/(4*C66+2*C67))^(1/3),2)</f>
        <v>115.34</v>
      </c>
      <c r="D69" s="225"/>
      <c r="J69" s="1"/>
      <c r="K69" s="1"/>
      <c r="L69" s="1"/>
      <c r="M69" s="1"/>
    </row>
    <row r="70" customHeight="1" spans="1:13">
      <c r="A70" s="101"/>
      <c r="B70" s="193" t="s">
        <v>2211</v>
      </c>
      <c r="C70" s="128">
        <f>MAX(C68,C69)</f>
        <v>138.08</v>
      </c>
      <c r="D70" s="213"/>
      <c r="J70" s="1"/>
      <c r="K70" s="1"/>
      <c r="L70" s="1"/>
      <c r="M70" s="1"/>
    </row>
    <row r="71" customHeight="1" spans="1:13">
      <c r="A71" s="101"/>
      <c r="B71" s="193" t="s">
        <v>2212</v>
      </c>
      <c r="C71" s="226">
        <v>1.5</v>
      </c>
      <c r="D71" s="213" t="s">
        <v>304</v>
      </c>
      <c r="J71" s="1"/>
      <c r="K71" s="1"/>
      <c r="L71" s="1"/>
      <c r="M71" s="1"/>
    </row>
    <row r="72" customHeight="1" spans="1:13">
      <c r="A72" s="101"/>
      <c r="B72" s="9" t="s">
        <v>2213</v>
      </c>
      <c r="C72" s="227">
        <f>(C53*1000/C71/C70)^3*10^6</f>
        <v>17722099362.5704</v>
      </c>
      <c r="D72" s="9" t="s">
        <v>2214</v>
      </c>
      <c r="J72" s="1"/>
      <c r="K72" s="1"/>
      <c r="M72" s="1"/>
    </row>
    <row r="73" customHeight="1" spans="1:13">
      <c r="A73" s="101"/>
      <c r="B73" s="9" t="s">
        <v>2215</v>
      </c>
      <c r="C73" s="128">
        <f>C72/(60*C59)</f>
        <v>281303.164485245</v>
      </c>
      <c r="D73" s="92"/>
      <c r="J73" s="1"/>
      <c r="K73" s="1"/>
      <c r="M73" s="1"/>
    </row>
    <row r="74" customHeight="1" spans="1:13">
      <c r="A74" s="101"/>
      <c r="B74" s="214" t="str">
        <f>IF(C58&lt;=C73,"Lh≤[Lh]","Lh＞[Lh]")</f>
        <v>Lh≤[Lh]</v>
      </c>
      <c r="C74" s="228" t="str">
        <f>IF(C58&lt;=C73,"校核合格","不合格，请重选螺母")</f>
        <v>校核合格</v>
      </c>
      <c r="D74" s="228"/>
      <c r="J74" s="1"/>
      <c r="K74" s="1"/>
      <c r="M74" s="1"/>
    </row>
    <row r="75" customHeight="1" spans="1:13">
      <c r="A75" s="110"/>
      <c r="B75" s="92" t="s">
        <v>2216</v>
      </c>
      <c r="C75" s="229" t="str">
        <f>C52</f>
        <v>WTF2040-2</v>
      </c>
      <c r="D75" s="230"/>
      <c r="K75" s="1"/>
      <c r="M75" s="1"/>
    </row>
    <row r="76" customHeight="1" spans="1:13">
      <c r="A76" s="4" t="s">
        <v>2217</v>
      </c>
      <c r="B76" s="38" t="s">
        <v>2218</v>
      </c>
      <c r="C76" s="38"/>
      <c r="D76" s="38"/>
      <c r="M76" s="1"/>
    </row>
    <row r="77" customHeight="1" spans="13:13">
      <c r="M77" s="1"/>
    </row>
    <row r="78" customHeight="1" spans="1:4">
      <c r="A78" s="231" t="s">
        <v>2219</v>
      </c>
      <c r="B78" s="232"/>
      <c r="C78" s="232"/>
      <c r="D78" s="233"/>
    </row>
    <row r="79" customHeight="1" spans="1:4">
      <c r="A79" s="234"/>
      <c r="B79" s="235"/>
      <c r="C79" s="235"/>
      <c r="D79" s="236"/>
    </row>
    <row r="80" customHeight="1" spans="1:4">
      <c r="A80" s="234"/>
      <c r="B80" s="235"/>
      <c r="C80" s="235"/>
      <c r="D80" s="236"/>
    </row>
    <row r="81" customHeight="1" spans="1:4">
      <c r="A81" s="234"/>
      <c r="B81" s="235"/>
      <c r="C81" s="235"/>
      <c r="D81" s="236"/>
    </row>
    <row r="82" customHeight="1" spans="1:4">
      <c r="A82" s="234"/>
      <c r="B82" s="235"/>
      <c r="C82" s="235"/>
      <c r="D82" s="236"/>
    </row>
    <row r="83" customHeight="1" spans="1:4">
      <c r="A83" s="234"/>
      <c r="B83" s="235"/>
      <c r="C83" s="235"/>
      <c r="D83" s="236"/>
    </row>
    <row r="84" customHeight="1" spans="1:4">
      <c r="A84" s="234"/>
      <c r="B84" s="235"/>
      <c r="C84" s="235"/>
      <c r="D84" s="236"/>
    </row>
    <row r="85" customHeight="1" spans="1:4">
      <c r="A85" s="234"/>
      <c r="B85" s="235"/>
      <c r="C85" s="235"/>
      <c r="D85" s="236"/>
    </row>
    <row r="86" customHeight="1" spans="1:4">
      <c r="A86" s="237"/>
      <c r="B86" s="238"/>
      <c r="C86" s="238"/>
      <c r="D86" s="239"/>
    </row>
    <row r="87" customHeight="1" spans="1:4">
      <c r="A87" s="240" t="s">
        <v>2220</v>
      </c>
      <c r="B87" s="241"/>
      <c r="C87" s="241"/>
      <c r="D87" s="242"/>
    </row>
    <row r="88" customHeight="1" spans="1:4">
      <c r="A88" s="243"/>
      <c r="B88" s="244"/>
      <c r="C88" s="244"/>
      <c r="D88" s="245"/>
    </row>
    <row r="89" customHeight="1" spans="1:4">
      <c r="A89" s="243"/>
      <c r="B89" s="244"/>
      <c r="C89" s="244"/>
      <c r="D89" s="245"/>
    </row>
    <row r="90" customHeight="1" spans="1:4">
      <c r="A90" s="246"/>
      <c r="B90" s="247"/>
      <c r="C90" s="247"/>
      <c r="D90" s="248"/>
    </row>
    <row r="91" customHeight="1" spans="1:1">
      <c r="A91" s="106"/>
    </row>
  </sheetData>
  <customSheetViews>
    <customSheetView guid="{27B96A40-A6B2-43F7-A93C-713F4207CB2A}">
      <selection activeCell="N17" sqref="N17"/>
      <pageMargins left="0.7" right="0.7" top="0.75" bottom="0.75" header="0.3" footer="0.3"/>
      <pageSetup paperSize="9" orientation="portrait"/>
      <headerFooter/>
    </customSheetView>
  </customSheetViews>
  <mergeCells count="23">
    <mergeCell ref="A1:D1"/>
    <mergeCell ref="C43:D43"/>
    <mergeCell ref="C48:D48"/>
    <mergeCell ref="C57:D57"/>
    <mergeCell ref="C74:D74"/>
    <mergeCell ref="C75:D75"/>
    <mergeCell ref="B76:D76"/>
    <mergeCell ref="A3:A19"/>
    <mergeCell ref="A20:A23"/>
    <mergeCell ref="A24:A33"/>
    <mergeCell ref="A34:A39"/>
    <mergeCell ref="A40:A43"/>
    <mergeCell ref="A44:A48"/>
    <mergeCell ref="A49:A51"/>
    <mergeCell ref="A52:A57"/>
    <mergeCell ref="A58:A75"/>
    <mergeCell ref="B13:B14"/>
    <mergeCell ref="B20:B21"/>
    <mergeCell ref="D13:D14"/>
    <mergeCell ref="F55:F56"/>
    <mergeCell ref="F57:F58"/>
    <mergeCell ref="A78:D86"/>
    <mergeCell ref="A87:D90"/>
  </mergeCells>
  <dataValidations count="3">
    <dataValidation type="list" allowBlank="1" showInputMessage="1" showErrorMessage="1" prompt="请选择" sqref="C34">
      <formula1>"固定—自由,固定—支撑,固定—固定,支撑—支撑"</formula1>
    </dataValidation>
    <dataValidation type="list" allowBlank="1" showInputMessage="1" showErrorMessage="1" prompt="请选择" sqref="C22">
      <formula1>"C0,C1,C2,C3,C5,C7,C8,C10"</formula1>
    </dataValidation>
    <dataValidation type="list" allowBlank="1" showInputMessage="1" showErrorMessage="1" prompt="请选择" sqref="C23">
      <formula1>"精密丝杆,轧制丝杆"</formula1>
    </dataValidation>
  </dataValidation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13333" progId="Equations" r:id="rId3">
          <objectPr defaultSize="0" r:id="rId4">
            <anchor moveWithCells="1">
              <from>
                <xdr:col>3</xdr:col>
                <xdr:colOff>7620</xdr:colOff>
                <xdr:row>67</xdr:row>
                <xdr:rowOff>0</xdr:rowOff>
              </from>
              <to>
                <xdr:col>5</xdr:col>
                <xdr:colOff>15240</xdr:colOff>
                <xdr:row>69</xdr:row>
                <xdr:rowOff>0</xdr:rowOff>
              </to>
            </anchor>
          </objectPr>
        </oleObject>
      </mc:Choice>
      <mc:Fallback>
        <oleObject shapeId="13333" progId="Equations" r:id="rId3"/>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64"/>
  <sheetViews>
    <sheetView workbookViewId="0">
      <selection activeCell="A1" sqref="A1:D1"/>
    </sheetView>
  </sheetViews>
  <sheetFormatPr defaultColWidth="9" defaultRowHeight="20.1" customHeight="1"/>
  <cols>
    <col min="1" max="1" width="12.5" style="47" customWidth="1"/>
    <col min="2" max="2" width="20.5" style="47" customWidth="1"/>
    <col min="3" max="3" width="15.625" style="551"/>
    <col min="4" max="4" width="17.625" style="47" customWidth="1"/>
    <col min="5" max="5" width="5.625" style="47" customWidth="1"/>
    <col min="6" max="13" width="10.625" style="47" customWidth="1"/>
    <col min="14" max="14" width="6.125" style="47" customWidth="1"/>
    <col min="15" max="15" width="15.75" style="47" customWidth="1"/>
    <col min="16" max="16" width="16.625" style="47" customWidth="1"/>
    <col min="17" max="20" width="14.625" style="47" customWidth="1"/>
    <col min="21" max="22" width="10.625" style="47" customWidth="1"/>
    <col min="23" max="28" width="8.625" style="47" customWidth="1"/>
    <col min="29" max="16384" width="9" style="47"/>
  </cols>
  <sheetData>
    <row r="1" ht="23.25" customHeight="1" spans="1:4">
      <c r="A1" s="124" t="s">
        <v>5</v>
      </c>
      <c r="B1" s="125"/>
      <c r="C1" s="125"/>
      <c r="D1" s="125"/>
    </row>
    <row r="2" ht="18" customHeight="1" spans="1:19">
      <c r="A2" s="744" t="s">
        <v>149</v>
      </c>
      <c r="B2" s="744"/>
      <c r="C2" s="744"/>
      <c r="D2" s="744"/>
      <c r="F2" s="47" t="s">
        <v>150</v>
      </c>
      <c r="S2" s="688"/>
    </row>
    <row r="3" customHeight="1" spans="1:19">
      <c r="A3" s="1128" t="s">
        <v>151</v>
      </c>
      <c r="B3" s="1129"/>
      <c r="C3" s="1129"/>
      <c r="D3" s="1130"/>
      <c r="F3" s="1131" t="s">
        <v>152</v>
      </c>
      <c r="G3" s="1132" t="s">
        <v>153</v>
      </c>
      <c r="H3" s="1132"/>
      <c r="I3" s="1132"/>
      <c r="S3" s="690"/>
    </row>
    <row r="4" customHeight="1" spans="1:19">
      <c r="A4" s="1133"/>
      <c r="B4" s="1134"/>
      <c r="C4" s="1134"/>
      <c r="D4" s="1135"/>
      <c r="F4" s="1131"/>
      <c r="G4" s="1136" t="s">
        <v>154</v>
      </c>
      <c r="H4" s="1136" t="s">
        <v>155</v>
      </c>
      <c r="I4" s="1136" t="s">
        <v>156</v>
      </c>
      <c r="S4" s="470"/>
    </row>
    <row r="5" customHeight="1" spans="1:19">
      <c r="A5" s="92" t="s">
        <v>157</v>
      </c>
      <c r="B5" s="9" t="s">
        <v>158</v>
      </c>
      <c r="C5" s="9" t="s">
        <v>159</v>
      </c>
      <c r="D5" s="218" t="s">
        <v>160</v>
      </c>
      <c r="F5" s="847"/>
      <c r="G5" s="1032" t="s">
        <v>161</v>
      </c>
      <c r="H5" s="1032" t="s">
        <v>162</v>
      </c>
      <c r="I5" s="1032" t="s">
        <v>163</v>
      </c>
      <c r="S5" s="114"/>
    </row>
    <row r="6" customHeight="1" spans="1:19">
      <c r="A6" s="855" t="s">
        <v>164</v>
      </c>
      <c r="B6" s="9" t="s">
        <v>165</v>
      </c>
      <c r="C6" s="850">
        <v>400</v>
      </c>
      <c r="D6" s="1137"/>
      <c r="F6" s="847"/>
      <c r="G6" s="1032"/>
      <c r="H6" s="1032"/>
      <c r="I6" s="1032"/>
      <c r="S6" s="114"/>
    </row>
    <row r="7" customHeight="1" spans="1:19">
      <c r="A7" s="785"/>
      <c r="B7" s="9" t="s">
        <v>166</v>
      </c>
      <c r="C7" s="850">
        <v>900</v>
      </c>
      <c r="D7" s="1137"/>
      <c r="S7" s="114"/>
    </row>
    <row r="8" customHeight="1" spans="1:19">
      <c r="A8" s="785"/>
      <c r="B8" s="9" t="s">
        <v>167</v>
      </c>
      <c r="C8" s="850">
        <v>2200</v>
      </c>
      <c r="D8" s="1137"/>
      <c r="F8" s="106" t="s">
        <v>168</v>
      </c>
      <c r="S8" s="114"/>
    </row>
    <row r="9" customHeight="1" spans="1:19">
      <c r="A9" s="785"/>
      <c r="B9" s="9" t="s">
        <v>169</v>
      </c>
      <c r="C9" s="850">
        <v>314</v>
      </c>
      <c r="D9" s="1137"/>
      <c r="F9" s="1138" t="s">
        <v>170</v>
      </c>
      <c r="G9" s="1138"/>
      <c r="H9" s="1138"/>
      <c r="I9" s="1136" t="s">
        <v>171</v>
      </c>
      <c r="J9" s="1174" t="s">
        <v>172</v>
      </c>
      <c r="M9" s="688"/>
      <c r="N9" s="688"/>
      <c r="O9" s="688"/>
      <c r="P9" s="688"/>
      <c r="Q9" s="688"/>
      <c r="R9" s="688"/>
      <c r="S9" s="114"/>
    </row>
    <row r="10" customHeight="1" spans="1:19">
      <c r="A10" s="785"/>
      <c r="B10" s="9" t="s">
        <v>173</v>
      </c>
      <c r="C10" s="850">
        <v>200</v>
      </c>
      <c r="D10" s="1137"/>
      <c r="F10" s="333" t="s">
        <v>174</v>
      </c>
      <c r="G10" s="333"/>
      <c r="H10" s="333"/>
      <c r="I10" s="6" t="s">
        <v>175</v>
      </c>
      <c r="J10" s="73" t="s">
        <v>176</v>
      </c>
      <c r="M10" s="690"/>
      <c r="N10" s="690"/>
      <c r="O10" s="690"/>
      <c r="P10" s="690"/>
      <c r="Q10" s="690"/>
      <c r="R10" s="690"/>
      <c r="S10" s="114"/>
    </row>
    <row r="11" customHeight="1" spans="1:18">
      <c r="A11" s="785"/>
      <c r="B11" s="9" t="s">
        <v>177</v>
      </c>
      <c r="C11" s="850">
        <v>320</v>
      </c>
      <c r="D11" s="1137"/>
      <c r="F11" s="294" t="s">
        <v>178</v>
      </c>
      <c r="G11" s="1139" t="s">
        <v>179</v>
      </c>
      <c r="H11" s="1139"/>
      <c r="I11" s="1136" t="s">
        <v>180</v>
      </c>
      <c r="J11" s="1174" t="s">
        <v>181</v>
      </c>
      <c r="M11" s="470"/>
      <c r="N11" s="470"/>
      <c r="O11" s="470"/>
      <c r="P11" s="470"/>
      <c r="Q11" s="470"/>
      <c r="R11" s="470"/>
    </row>
    <row r="12" customHeight="1" spans="1:18">
      <c r="A12" s="1140" t="s">
        <v>182</v>
      </c>
      <c r="B12" s="1141" t="s">
        <v>183</v>
      </c>
      <c r="C12" s="1142">
        <f>SQRT(((C11*C7+C6*C9/2)/(C10+C11))^2+(C11*C8/(C10+C11))^2)</f>
        <v>1512.61539243913</v>
      </c>
      <c r="D12" s="1137"/>
      <c r="F12" s="294"/>
      <c r="G12" s="333" t="s">
        <v>184</v>
      </c>
      <c r="H12" s="333"/>
      <c r="I12" s="6" t="s">
        <v>185</v>
      </c>
      <c r="J12" s="73" t="s">
        <v>186</v>
      </c>
      <c r="M12" s="114"/>
      <c r="N12" s="114"/>
      <c r="O12" s="114"/>
      <c r="P12" s="114"/>
      <c r="Q12" s="114"/>
      <c r="R12" s="114"/>
    </row>
    <row r="13" customHeight="1" spans="1:18">
      <c r="A13" s="1143"/>
      <c r="B13" s="1141" t="s">
        <v>187</v>
      </c>
      <c r="C13" s="1142">
        <f>SQRT(((C10*C7-C6*C9/2)/(C10+C11))^2+(C10*C8/(C10+C11))^2)</f>
        <v>875.656642876086</v>
      </c>
      <c r="D13" s="1137"/>
      <c r="F13" s="294" t="s">
        <v>188</v>
      </c>
      <c r="G13" s="1139" t="s">
        <v>189</v>
      </c>
      <c r="H13" s="1139"/>
      <c r="I13" s="1136" t="s">
        <v>190</v>
      </c>
      <c r="J13" s="1174" t="s">
        <v>191</v>
      </c>
      <c r="M13" s="114"/>
      <c r="N13" s="114"/>
      <c r="O13" s="114"/>
      <c r="P13" s="114"/>
      <c r="Q13" s="114"/>
      <c r="R13" s="114"/>
    </row>
    <row r="14" customHeight="1" spans="1:18">
      <c r="A14" s="306" t="s">
        <v>192</v>
      </c>
      <c r="B14" s="325"/>
      <c r="C14" s="152">
        <f>ABS(C6/2)</f>
        <v>200</v>
      </c>
      <c r="D14" s="193" t="s">
        <v>193</v>
      </c>
      <c r="F14" s="294"/>
      <c r="G14" s="333" t="s">
        <v>194</v>
      </c>
      <c r="H14" s="333"/>
      <c r="I14" s="6" t="s">
        <v>195</v>
      </c>
      <c r="J14" s="73" t="s">
        <v>196</v>
      </c>
      <c r="M14" s="114"/>
      <c r="N14" s="114"/>
      <c r="O14" s="114"/>
      <c r="P14" s="114"/>
      <c r="Q14" s="114"/>
      <c r="R14" s="114"/>
    </row>
    <row r="15" customHeight="1" spans="1:18">
      <c r="A15" s="31" t="s">
        <v>197</v>
      </c>
      <c r="B15" s="212" t="s">
        <v>198</v>
      </c>
      <c r="C15" s="1144" t="s">
        <v>199</v>
      </c>
      <c r="D15" s="1145"/>
      <c r="F15" s="294" t="s">
        <v>200</v>
      </c>
      <c r="G15" s="1146"/>
      <c r="H15" s="1146"/>
      <c r="I15" s="1136" t="s">
        <v>201</v>
      </c>
      <c r="J15" s="1174" t="s">
        <v>202</v>
      </c>
      <c r="M15" s="114"/>
      <c r="N15" s="114"/>
      <c r="O15" s="114"/>
      <c r="P15" s="114"/>
      <c r="Q15" s="114"/>
      <c r="R15" s="114"/>
    </row>
    <row r="16" customHeight="1" spans="1:18">
      <c r="A16" s="31"/>
      <c r="B16" s="168" t="s">
        <v>203</v>
      </c>
      <c r="C16" s="171">
        <f>IF(C15="7000AC",0.68*C12,IF(C15="7000B",1.14*C12,"请选择轴承类型"))</f>
        <v>1028.57846685861</v>
      </c>
      <c r="D16" s="1145"/>
      <c r="F16" s="294"/>
      <c r="G16" s="333" t="s">
        <v>184</v>
      </c>
      <c r="H16" s="333"/>
      <c r="I16" s="28" t="s">
        <v>204</v>
      </c>
      <c r="J16" s="73" t="s">
        <v>205</v>
      </c>
      <c r="M16" s="114"/>
      <c r="N16" s="114"/>
      <c r="O16" s="114"/>
      <c r="P16" s="114"/>
      <c r="Q16" s="114"/>
      <c r="R16" s="114"/>
    </row>
    <row r="17" customHeight="1" spans="1:18">
      <c r="A17" s="31"/>
      <c r="B17" s="168" t="s">
        <v>206</v>
      </c>
      <c r="C17" s="171">
        <f>IF(C15="7000AC",0.68*C13,IF(C15="7000B",1.14*C13,"请选择轴承类型"))</f>
        <v>595.446517155739</v>
      </c>
      <c r="D17" s="1145"/>
      <c r="M17" s="114"/>
      <c r="N17" s="114"/>
      <c r="O17" s="114"/>
      <c r="P17" s="114"/>
      <c r="Q17" s="114"/>
      <c r="R17" s="114"/>
    </row>
    <row r="18" customHeight="1" spans="1:15">
      <c r="A18" s="31"/>
      <c r="B18" s="193" t="s">
        <v>207</v>
      </c>
      <c r="C18" s="1144" t="s">
        <v>208</v>
      </c>
      <c r="D18" s="1145"/>
      <c r="F18" s="47" t="s">
        <v>209</v>
      </c>
      <c r="J18" s="114"/>
      <c r="K18" s="114"/>
      <c r="L18" s="114"/>
      <c r="M18" s="114"/>
      <c r="N18" s="114"/>
      <c r="O18" s="47" t="s">
        <v>210</v>
      </c>
    </row>
    <row r="19" customHeight="1" spans="1:18">
      <c r="A19" s="31"/>
      <c r="B19" s="168" t="str">
        <f>IF(C18="左侧轴承被压紧","左轴承轴向力Fa1(N)",IF(C18="右侧轴承被压紧","右轴承轴向力Fa2(N)","请选择被压紧轴承"))</f>
        <v>左轴承轴向力Fa1(N)</v>
      </c>
      <c r="C19" s="104">
        <f>IF(C18="左侧轴承被压紧",ABS(C6)+C17,IF(C18="右侧轴承被压紧",ABS(C6)+C16,"请选择被压紧轴承"))</f>
        <v>995.446517155739</v>
      </c>
      <c r="D19" s="1145"/>
      <c r="F19" s="1147" t="s">
        <v>198</v>
      </c>
      <c r="G19" s="1148" t="s">
        <v>211</v>
      </c>
      <c r="H19" s="1147" t="s">
        <v>212</v>
      </c>
      <c r="I19" s="1175" t="s">
        <v>213</v>
      </c>
      <c r="J19" s="1176" t="s">
        <v>214</v>
      </c>
      <c r="K19" s="1177"/>
      <c r="L19" s="1147" t="s">
        <v>215</v>
      </c>
      <c r="M19" s="1147"/>
      <c r="O19" s="92" t="s">
        <v>216</v>
      </c>
      <c r="P19" s="661" t="s">
        <v>217</v>
      </c>
      <c r="Q19" s="92" t="s">
        <v>218</v>
      </c>
      <c r="R19" s="1180" t="s">
        <v>219</v>
      </c>
    </row>
    <row r="20" customHeight="1" spans="1:18">
      <c r="A20" s="31"/>
      <c r="B20" s="193" t="str">
        <f>IF(C18="左侧轴承被压紧","右轴承轴向力Fa2(N)",IF(C18="右侧轴承被压紧","左轴承轴向力Fa1(N)","请选择被压紧轴承"))</f>
        <v>右轴承轴向力Fa2(N)</v>
      </c>
      <c r="C20" s="104">
        <f>IF(C18="左侧轴承被压紧",C17,IF(C18="右侧轴承被压紧",C16,"请选择被压紧轴承"))</f>
        <v>595.446517155739</v>
      </c>
      <c r="D20" s="1145"/>
      <c r="F20" s="1147"/>
      <c r="G20" s="1149"/>
      <c r="H20" s="1147" t="s">
        <v>220</v>
      </c>
      <c r="I20" s="1147"/>
      <c r="J20" s="1147" t="s">
        <v>221</v>
      </c>
      <c r="K20" s="1147" t="s">
        <v>222</v>
      </c>
      <c r="L20" s="1147" t="s">
        <v>221</v>
      </c>
      <c r="M20" s="1147" t="s">
        <v>222</v>
      </c>
      <c r="O20" s="92" t="s">
        <v>223</v>
      </c>
      <c r="P20" s="1178">
        <f>C55</f>
        <v>0.0649350649350649</v>
      </c>
      <c r="Q20" s="1181">
        <f>Q22+((Q21-Q22)*(P22-P20))/(P22-P21)</f>
        <v>0.264935064935065</v>
      </c>
      <c r="R20" s="1181">
        <f>IF(C57&lt;=C56,0,R22+((R21-R22)*(P22-P20))/(P22-P21))</f>
        <v>1.63376623376623</v>
      </c>
    </row>
    <row r="21" customHeight="1" spans="1:18">
      <c r="A21" s="90" t="s">
        <v>224</v>
      </c>
      <c r="B21" s="193" t="s">
        <v>225</v>
      </c>
      <c r="C21" s="108" t="s">
        <v>226</v>
      </c>
      <c r="D21" s="1145"/>
      <c r="F21" s="1148" t="s">
        <v>227</v>
      </c>
      <c r="G21" s="1148">
        <v>60000</v>
      </c>
      <c r="H21" s="1150">
        <v>0.025</v>
      </c>
      <c r="I21" s="1147">
        <v>0.22</v>
      </c>
      <c r="J21" s="1148">
        <v>1</v>
      </c>
      <c r="K21" s="1148">
        <v>0</v>
      </c>
      <c r="L21" s="1148">
        <v>0.56</v>
      </c>
      <c r="M21" s="1147">
        <v>2</v>
      </c>
      <c r="O21" s="661" t="s">
        <v>228</v>
      </c>
      <c r="P21" s="765">
        <f>IF(P20&gt;=H25,H25,IF(P20&gt;=H24,H24,IF(P20&gt;=H23,H23,IF(P20&gt;=H22,H22,H21))))</f>
        <v>0.04</v>
      </c>
      <c r="Q21" s="1180">
        <f>IF(P21=H21,I21,IF(P21=H22,I22,IF(P21=H23,I23,IF(P21=H24,I24,IF(P21=H25,I25)))))</f>
        <v>0.24</v>
      </c>
      <c r="R21" s="1180">
        <f>IF(P21=H21,M21,IF(P21=H22,M22,IF(P21=H23,M23,IF(P21=H24,M24,IF(P21=H25,M25)))))</f>
        <v>1.8</v>
      </c>
    </row>
    <row r="22" customHeight="1" spans="1:18">
      <c r="A22" s="93"/>
      <c r="B22" s="193" t="s">
        <v>229</v>
      </c>
      <c r="C22" s="321">
        <v>20000</v>
      </c>
      <c r="D22" s="1145"/>
      <c r="F22" s="1151"/>
      <c r="G22" s="1151"/>
      <c r="H22" s="1150">
        <v>0.04</v>
      </c>
      <c r="I22" s="1147">
        <v>0.24</v>
      </c>
      <c r="J22" s="1151"/>
      <c r="K22" s="1151"/>
      <c r="L22" s="1151"/>
      <c r="M22" s="1147">
        <v>1.8</v>
      </c>
      <c r="O22" s="661" t="s">
        <v>230</v>
      </c>
      <c r="P22" s="765">
        <f>IF(P20&lt;=H22,H22,IF(P20&lt;=H23,H23,IF(P20&lt;=H24,H24,IF(P20&lt;=H25,H25,H26))))</f>
        <v>0.07</v>
      </c>
      <c r="Q22" s="1180">
        <f>IF(P22=H22,I22,IF(P22=H23,I23,IF(P22=H24,I24,IF(P22=H25,I25,IF(P22=H26,I26)))))</f>
        <v>0.27</v>
      </c>
      <c r="R22" s="1180">
        <f>IF(P22=H22,M22,IF(P22=H23,M23,IF(P22=H24,M24,IF(P22=H25,M25,IF(P22=H26,M26)))))</f>
        <v>1.6</v>
      </c>
    </row>
    <row r="23" customHeight="1" spans="1:13">
      <c r="A23" s="93"/>
      <c r="B23" s="193" t="s">
        <v>231</v>
      </c>
      <c r="C23" s="1152">
        <v>0.4</v>
      </c>
      <c r="D23" s="1153" t="s">
        <v>232</v>
      </c>
      <c r="F23" s="1151"/>
      <c r="G23" s="1151"/>
      <c r="H23" s="1150">
        <v>0.07</v>
      </c>
      <c r="I23" s="1147">
        <v>0.27</v>
      </c>
      <c r="J23" s="1151"/>
      <c r="K23" s="1151"/>
      <c r="L23" s="1151"/>
      <c r="M23" s="1147">
        <v>1.6</v>
      </c>
    </row>
    <row r="24" customHeight="1" spans="1:15">
      <c r="A24" s="93"/>
      <c r="B24" s="193" t="s">
        <v>233</v>
      </c>
      <c r="C24" s="97">
        <f>C23*C12</f>
        <v>605.046156975652</v>
      </c>
      <c r="D24" s="89"/>
      <c r="F24" s="1151"/>
      <c r="G24" s="1151"/>
      <c r="H24" s="1150">
        <v>0.13</v>
      </c>
      <c r="I24" s="1147">
        <v>0.31</v>
      </c>
      <c r="J24" s="1151"/>
      <c r="K24" s="1151"/>
      <c r="L24" s="1151"/>
      <c r="M24" s="1147">
        <v>1.4</v>
      </c>
      <c r="O24" s="47" t="s">
        <v>234</v>
      </c>
    </row>
    <row r="25" customHeight="1" spans="1:18">
      <c r="A25" s="93"/>
      <c r="B25" s="193" t="s">
        <v>235</v>
      </c>
      <c r="C25" s="97">
        <f>C23*C13</f>
        <v>350.262657150435</v>
      </c>
      <c r="D25" s="89"/>
      <c r="F25" s="1151"/>
      <c r="G25" s="1151"/>
      <c r="H25" s="1150">
        <v>0.25</v>
      </c>
      <c r="I25" s="1147">
        <v>0.37</v>
      </c>
      <c r="J25" s="1151"/>
      <c r="K25" s="1151"/>
      <c r="L25" s="1151"/>
      <c r="M25" s="1147">
        <v>1.2</v>
      </c>
      <c r="O25" s="92" t="s">
        <v>216</v>
      </c>
      <c r="P25" s="661" t="s">
        <v>217</v>
      </c>
      <c r="Q25" s="92" t="s">
        <v>218</v>
      </c>
      <c r="R25" s="1180" t="s">
        <v>219</v>
      </c>
    </row>
    <row r="26" customHeight="1" spans="1:18">
      <c r="A26" s="93"/>
      <c r="B26" s="168" t="s">
        <v>207</v>
      </c>
      <c r="C26" s="1144" t="s">
        <v>236</v>
      </c>
      <c r="D26" s="1145"/>
      <c r="F26" s="1149"/>
      <c r="G26" s="1149"/>
      <c r="H26" s="1150">
        <v>0.5</v>
      </c>
      <c r="I26" s="1147">
        <v>0.44</v>
      </c>
      <c r="J26" s="1149"/>
      <c r="K26" s="1149"/>
      <c r="L26" s="1149"/>
      <c r="M26" s="1147">
        <v>1</v>
      </c>
      <c r="O26" s="92" t="s">
        <v>223</v>
      </c>
      <c r="P26" s="1178">
        <f>C83</f>
        <v>0.0416666666666667</v>
      </c>
      <c r="Q26" s="1181">
        <f>Q28+((Q27-Q28)*(P28-P26))/(P28-P27)</f>
        <v>0.413103448275862</v>
      </c>
      <c r="R26" s="1181">
        <f>IF(C63&lt;=C62,0,R28+((R27-R28)*(P28-P26))/(P28-P27))</f>
        <v>1.35632183908046</v>
      </c>
    </row>
    <row r="27" customHeight="1" spans="1:18">
      <c r="A27" s="93"/>
      <c r="B27" s="168" t="str">
        <f>IF(C26="左侧轴承被压紧","左轴承轴向力Fa1(N)",IF(C26="右侧轴承被压紧","右轴承轴向力Fa2(N)","请选择被压紧轴承"))</f>
        <v>右轴承轴向力Fa2(N)</v>
      </c>
      <c r="C27" s="128">
        <f>IF(C26="左侧轴承被压紧",ABS(C6)+C25,IF(C26="右侧轴承被压紧",ABS(C6)+C24,"请选择被压紧轴承"))</f>
        <v>1005.04615697565</v>
      </c>
      <c r="D27" s="89"/>
      <c r="F27" s="1148" t="s">
        <v>237</v>
      </c>
      <c r="G27" s="1154" t="s">
        <v>238</v>
      </c>
      <c r="H27" s="1147">
        <v>0.015</v>
      </c>
      <c r="I27" s="1147">
        <v>0.38</v>
      </c>
      <c r="J27" s="1148">
        <v>1</v>
      </c>
      <c r="K27" s="1148">
        <v>0</v>
      </c>
      <c r="L27" s="1148">
        <v>0.44</v>
      </c>
      <c r="M27" s="1147">
        <v>1.47</v>
      </c>
      <c r="O27" s="661" t="s">
        <v>228</v>
      </c>
      <c r="P27" s="765">
        <f>IF(P26&gt;=H34,H34,IF(P26&gt;=H33,H33,IF(P26&gt;=H32,H32,IF(P26&gt;=H31,H31,IF(P26&gt;=H30,H30,IF(P26&gt;=H29,H29,IF(P26&gt;=H28,H28,H27)))))))</f>
        <v>0.029</v>
      </c>
      <c r="Q27" s="1180">
        <f>IF(P27=H27,I27,IF(P27=H28,I28,IF(P27=H29,I29,IF(P27=H30,I30,IF(P27=H31,I31,IF(P27=H32,I32,IF(P27=H33,I33,IF(P27=H34,I34))))))))</f>
        <v>0.4</v>
      </c>
      <c r="R27" s="1180">
        <f>IF(P27=H27,M27,IF(P27=H28,M28,IF(P27=H29,M29,IF(P27=H30,M30,IF(P27=H31,M31,IF(P27=H32,M32,IF(P27=H33,M33,IF(P27=H34,M34))))))))</f>
        <v>1.4</v>
      </c>
    </row>
    <row r="28" customHeight="1" spans="1:18">
      <c r="A28" s="93"/>
      <c r="B28" s="193" t="str">
        <f>IF(C26="左侧轴承被压紧","右轴承轴向力Fa2(N)",IF(C26="右侧轴承被压紧","左轴承轴向力Fa1(N)","请选择被压紧轴承"))</f>
        <v>左轴承轴向力Fa1(N)</v>
      </c>
      <c r="C28" s="128">
        <f>IF(C26="左侧轴承被压紧",C25,IF(C26="右侧轴承被压紧",C24,"请选择被压紧轴承"))</f>
        <v>605.046156975652</v>
      </c>
      <c r="D28" s="89"/>
      <c r="F28" s="1151"/>
      <c r="G28" s="1155"/>
      <c r="H28" s="1147">
        <v>0.029</v>
      </c>
      <c r="I28" s="1147">
        <v>0.4</v>
      </c>
      <c r="J28" s="1151"/>
      <c r="K28" s="1151"/>
      <c r="L28" s="1151"/>
      <c r="M28" s="1147">
        <v>1.4</v>
      </c>
      <c r="O28" s="661" t="s">
        <v>230</v>
      </c>
      <c r="P28" s="765">
        <f>IF(P26&lt;=H28,H28,IF(P26&lt;=H29,H29,IF(P26&lt;=H30,H30,IF(P26&lt;=H31,H31,IF(P26&lt;=H32,H32,IF(P26&lt;=H307,H33,IF(P26&lt;=H34,H34,H35)))))))</f>
        <v>0.058</v>
      </c>
      <c r="Q28" s="1180">
        <f>IF(P28=H28,I28,IF(P28=H29,I29,IF(P28=H30,I30,IF(P28=H31,I31,IF(P28=H32,I32,IF(P28=H33,I33,IF(P28=H34,I34,IF(P28=H35,I35))))))))</f>
        <v>0.43</v>
      </c>
      <c r="R28" s="1180">
        <f>IF(P28=H28,M28,IF(P28=H29,M29,IF(P28=H30,M30,IF(P28=H31,M31,IF(P28=H32,M32,IF(P28=H33,M33,IF(P28=H34,M34,IF(P28=H35,M35))))))))</f>
        <v>1.3</v>
      </c>
    </row>
    <row r="29" customHeight="1" spans="1:13">
      <c r="A29" s="93"/>
      <c r="B29" s="193" t="str">
        <f>IF(C26="左侧轴承被压紧","左轴承Fa1/C0",IF(C26="右侧轴承被压紧","右轴承Fa2/C0","请选择被压紧轴承"))</f>
        <v>右轴承Fa2/C0</v>
      </c>
      <c r="C29" s="112">
        <f>C27/C22</f>
        <v>0.0502523078487826</v>
      </c>
      <c r="D29" s="223"/>
      <c r="F29" s="1151"/>
      <c r="G29" s="1155"/>
      <c r="H29" s="1147">
        <v>0.058</v>
      </c>
      <c r="I29" s="1147">
        <v>0.43</v>
      </c>
      <c r="J29" s="1151"/>
      <c r="K29" s="1151"/>
      <c r="L29" s="1151"/>
      <c r="M29" s="1147">
        <v>1.3</v>
      </c>
    </row>
    <row r="30" customHeight="1" spans="1:15">
      <c r="A30" s="93"/>
      <c r="B30" s="193" t="str">
        <f>IF(C26="右侧轴承被压紧","左轴承Fa1/C0",IF(C26="左侧轴承被压紧","右轴承Fa2/C0","请选择被压紧轴承"))</f>
        <v>左轴承Fa1/C0</v>
      </c>
      <c r="C30" s="112">
        <f>C28/C22</f>
        <v>0.0302523078487826</v>
      </c>
      <c r="D30" s="1145"/>
      <c r="F30" s="1151"/>
      <c r="G30" s="1155"/>
      <c r="H30" s="1147">
        <v>0.087</v>
      </c>
      <c r="I30" s="1147">
        <v>0.46</v>
      </c>
      <c r="J30" s="1151"/>
      <c r="K30" s="1151"/>
      <c r="L30" s="1151"/>
      <c r="M30" s="1147">
        <v>1.23</v>
      </c>
      <c r="O30" s="47" t="s">
        <v>239</v>
      </c>
    </row>
    <row r="31" customHeight="1" spans="1:19">
      <c r="A31" s="93"/>
      <c r="B31" s="168" t="str">
        <f>IF(C26="左侧轴承被压紧","左轴承e1",IF(C26="右侧轴承被压紧","右轴承e2","请选择被压紧轴承"))</f>
        <v>右轴承e2</v>
      </c>
      <c r="C31" s="112">
        <f>Q32</f>
        <v>0.421985146050465</v>
      </c>
      <c r="D31" s="1156" t="str">
        <f>"e平均值="&amp;ROUND(0.5*(C31+C32),4)</f>
        <v>e平均值=0.4116</v>
      </c>
      <c r="F31" s="1151"/>
      <c r="G31" s="1155"/>
      <c r="H31" s="1150">
        <v>0.12</v>
      </c>
      <c r="I31" s="1147">
        <v>0.47</v>
      </c>
      <c r="J31" s="1151"/>
      <c r="K31" s="1151"/>
      <c r="L31" s="1151"/>
      <c r="M31" s="1147">
        <v>1.19</v>
      </c>
      <c r="O31" s="92" t="s">
        <v>216</v>
      </c>
      <c r="P31" s="661" t="s">
        <v>240</v>
      </c>
      <c r="Q31" s="92" t="s">
        <v>241</v>
      </c>
      <c r="R31" s="1180" t="s">
        <v>219</v>
      </c>
      <c r="S31" s="1182" t="s">
        <v>242</v>
      </c>
    </row>
    <row r="32" customHeight="1" spans="1:19">
      <c r="A32" s="93"/>
      <c r="B32" s="168" t="str">
        <f>IF(C26="左侧轴承被压紧","右轴承e2",IF(C26="右侧轴承被压紧","左轴承e1","请选择被压紧轴承"))</f>
        <v>左轴承e1</v>
      </c>
      <c r="C32" s="112">
        <f>Q36</f>
        <v>0.401295490878051</v>
      </c>
      <c r="D32" s="1157"/>
      <c r="F32" s="1151"/>
      <c r="G32" s="1155"/>
      <c r="H32" s="1150">
        <v>0.17</v>
      </c>
      <c r="I32" s="1147">
        <v>0.5</v>
      </c>
      <c r="J32" s="1151"/>
      <c r="K32" s="1151"/>
      <c r="L32" s="1151"/>
      <c r="M32" s="1147">
        <v>1.12</v>
      </c>
      <c r="O32" s="92" t="s">
        <v>223</v>
      </c>
      <c r="P32" s="1178">
        <f>C29</f>
        <v>0.0502523078487826</v>
      </c>
      <c r="Q32" s="1181">
        <f>Q34+((Q33-Q34)*(P34-P32))/(P34-P33)</f>
        <v>0.421985146050465</v>
      </c>
      <c r="R32" s="1181">
        <f>IF(C69&lt;=C68,0,R34+((R33-R34)*(P34-P32))/(P34-P33))</f>
        <v>0</v>
      </c>
      <c r="S32" s="1182"/>
    </row>
    <row r="33" customHeight="1" spans="1:19">
      <c r="A33" s="93"/>
      <c r="B33" s="168" t="str">
        <f>IF(C26="左侧轴承被压紧","左轴承派生轴向力Fd1(N)",IF(C26="右侧轴承被压紧","右轴承派生轴向力Fd2(N)","请选择被压紧轴承"))</f>
        <v>右轴承派生轴向力Fd2(N)</v>
      </c>
      <c r="C33" s="97">
        <f>IF(C26="左侧轴承被压紧",C31*C12,IF(C26="右侧轴承被压紧",C31*C13,"请选择被压紧轴承"))</f>
        <v>369.514096334125</v>
      </c>
      <c r="D33" s="1145"/>
      <c r="F33" s="1151"/>
      <c r="G33" s="1155"/>
      <c r="H33" s="1150">
        <v>0.29</v>
      </c>
      <c r="I33" s="1147">
        <v>0.55</v>
      </c>
      <c r="J33" s="1151"/>
      <c r="K33" s="1151"/>
      <c r="L33" s="1151"/>
      <c r="M33" s="1147">
        <v>1.02</v>
      </c>
      <c r="O33" s="661" t="s">
        <v>228</v>
      </c>
      <c r="P33" s="765">
        <f>IF(P32&gt;=H34,H34,IF(P32&gt;=H33,H33,IF(P32&gt;=H32,H32,IF(P32&gt;=H31,H31,IF(P32&gt;=H30,H30,IF(P32&gt;=H29,H29,IF(P32&gt;=H28,H28,H27)))))))</f>
        <v>0.029</v>
      </c>
      <c r="Q33" s="1180">
        <f>IF(P33=H27,I27,IF(P33=H28,I28,IF(P33=H29,I29,IF(P33=H30,I30,IF(P33=H31,I31,IF(P33&lt;=H32,I32,IF(P33=H33,I33,IF(P33=H34,I34))))))))</f>
        <v>0.4</v>
      </c>
      <c r="R33" s="1180">
        <f>IF(P33=H27,M27,IF(P33=H28,M28,IF(P33=H29,M29,IF(P33=H30,M30,IF(P33=H31,M31,IF(P33=H32,M32,IF(P33=H33,M33,IF(P33=H34,M34))))))))</f>
        <v>1.4</v>
      </c>
      <c r="S33" s="1182"/>
    </row>
    <row r="34" customHeight="1" spans="1:19">
      <c r="A34" s="93"/>
      <c r="B34" s="168" t="str">
        <f>IF(C26="左侧轴承被压紧","右轴承派生轴向力Fd2(N)",IF(C26="右侧轴承被压紧","左轴承派生轴向力Fd1(N)","请选择被压紧轴承"))</f>
        <v>左轴承派生轴向力Fd1(N)</v>
      </c>
      <c r="C34" s="97">
        <f>IF(C26="左侧轴承被压紧",C32*C13,IF(C26="右侧轴承被压紧",C32*C12,"请选择被压紧轴承"))</f>
        <v>607.005736418557</v>
      </c>
      <c r="D34" s="1145"/>
      <c r="F34" s="1151"/>
      <c r="G34" s="1155"/>
      <c r="H34" s="1150">
        <v>0.44</v>
      </c>
      <c r="I34" s="1147">
        <v>0.56</v>
      </c>
      <c r="J34" s="1151"/>
      <c r="K34" s="1151"/>
      <c r="L34" s="1151"/>
      <c r="M34" s="1179">
        <v>1</v>
      </c>
      <c r="O34" s="661" t="s">
        <v>230</v>
      </c>
      <c r="P34" s="765">
        <f>IF(P32&lt;=H28,H28,IF(P32&lt;=H29,H29,IF(P32&lt;=H30,H30,IF(P32&lt;=H31,H31,IF(P32&lt;=H32,H32,IF(P32&lt;=H307,H33,IF(P32&lt;=H34,H34,H35)))))))</f>
        <v>0.058</v>
      </c>
      <c r="Q34" s="1180">
        <f>IF(P34=H28,I28,IF(P34=H29,I29,IF(P34=H30,I30,IF(P34=H31,I31,IF(P34=H32,I32,IF(P34=H33,I33,IF(P34=H34,I34,IF(P34=H35,I35))))))))</f>
        <v>0.43</v>
      </c>
      <c r="R34" s="1180">
        <f>IF(P34=H28,M28,IF(P34=H29,M29,IF(P34=H30,M30,IF(P34=H31,M31,IF(P34=H32,M32,IF(P34=H33,M33,IF(P34=H34,M34,IF(P34=H35,M35))))))))</f>
        <v>1.3</v>
      </c>
      <c r="S34" s="1182"/>
    </row>
    <row r="35" customHeight="1" spans="1:19">
      <c r="A35" s="93"/>
      <c r="B35" s="1158" t="str">
        <f>IF(C26="左侧轴承被压紧","左轴承轴向力Fa1(N)",IF(C26="右侧轴承被压紧","右轴承轴向力Fa2(N)","请选择被压紧轴承"))</f>
        <v>右轴承轴向力Fa2(N)</v>
      </c>
      <c r="C35" s="104">
        <f>ABS(C6)+C34</f>
        <v>1007.00573641856</v>
      </c>
      <c r="D35" s="89"/>
      <c r="F35" s="1151"/>
      <c r="G35" s="1159"/>
      <c r="H35" s="1150">
        <v>0.58</v>
      </c>
      <c r="I35" s="1147">
        <v>0.56</v>
      </c>
      <c r="J35" s="1149"/>
      <c r="K35" s="1149"/>
      <c r="L35" s="1149"/>
      <c r="M35" s="1179">
        <v>1</v>
      </c>
      <c r="O35" s="92" t="s">
        <v>216</v>
      </c>
      <c r="P35" s="661" t="s">
        <v>243</v>
      </c>
      <c r="Q35" s="92" t="s">
        <v>244</v>
      </c>
      <c r="R35" s="1180" t="s">
        <v>219</v>
      </c>
      <c r="S35" s="1182"/>
    </row>
    <row r="36" customHeight="1" spans="1:19">
      <c r="A36" s="95"/>
      <c r="B36" s="1158" t="str">
        <f>IF(C26="左侧轴承被压紧","右轴承轴向力Fa2(N)",IF(C26="右侧轴承被压紧","左轴承轴向力Fa1(N)","请选择被压紧轴承"))</f>
        <v>左轴承轴向力Fa1(N)</v>
      </c>
      <c r="C36" s="104">
        <f>C34</f>
        <v>607.005736418557</v>
      </c>
      <c r="D36" s="89"/>
      <c r="F36" s="1151"/>
      <c r="G36" s="1160" t="s">
        <v>245</v>
      </c>
      <c r="H36" s="1147" t="s">
        <v>246</v>
      </c>
      <c r="I36" s="1147">
        <v>0.68</v>
      </c>
      <c r="J36" s="1147">
        <v>1</v>
      </c>
      <c r="K36" s="1147">
        <v>0</v>
      </c>
      <c r="L36" s="1147">
        <v>0.41</v>
      </c>
      <c r="M36" s="1147">
        <v>0.87</v>
      </c>
      <c r="O36" s="92" t="s">
        <v>223</v>
      </c>
      <c r="P36" s="1178">
        <f>C30</f>
        <v>0.0302523078487826</v>
      </c>
      <c r="Q36" s="1181">
        <f>Q38+((Q37-Q38)*(P38-P36))/(P38-P37)</f>
        <v>0.401295490878051</v>
      </c>
      <c r="R36" s="1181">
        <f>IF(C73&lt;=C72,0,R38+((R37-R38)*(P38-P36))/(P38-P37))</f>
        <v>0</v>
      </c>
      <c r="S36" s="1182"/>
    </row>
    <row r="37" customHeight="1" spans="1:19">
      <c r="A37" s="31" t="s">
        <v>247</v>
      </c>
      <c r="B37" s="92" t="s">
        <v>248</v>
      </c>
      <c r="C37" s="186">
        <v>32206</v>
      </c>
      <c r="D37" s="32"/>
      <c r="F37" s="1149"/>
      <c r="G37" s="1161" t="s">
        <v>249</v>
      </c>
      <c r="H37" s="1162" t="s">
        <v>246</v>
      </c>
      <c r="I37" s="1147">
        <v>1.14</v>
      </c>
      <c r="J37" s="1147">
        <v>1</v>
      </c>
      <c r="K37" s="1147">
        <v>0</v>
      </c>
      <c r="L37" s="1147">
        <v>0.35</v>
      </c>
      <c r="M37" s="1147">
        <v>0.57</v>
      </c>
      <c r="O37" s="661" t="s">
        <v>228</v>
      </c>
      <c r="P37" s="765">
        <f>IF(P36&gt;=H34,H34,IF(P36&gt;=H33,H33,IF(P36&gt;=H32,H32,IF(P36&gt;=H31,H31,IF(P36&gt;=H30,H30,IF(P36&gt;=H29,H29,IF(P36&gt;=H28,H28,H27)))))))</f>
        <v>0.029</v>
      </c>
      <c r="Q37" s="1180">
        <f>IF(P37&lt;=H28,I28,IF(P37&lt;=H29,I29,IF(P37&lt;=H30,I30,IF(P37&lt;=H31,I31,IF(P37&lt;=H32,I32,IF(P37&lt;=H33,I33,IF(P37&lt;=H34,I34,IF(P37&lt;=H35,I35))))))))</f>
        <v>0.4</v>
      </c>
      <c r="R37" s="1180">
        <f>IF(P37=H27,M27,IF(P37=H28,M28,IF(P37=H29,M29,IF(P37=H30,M30,IF(P37=H31,M31,IF(P37=H32,M32,IF(P37=H33,M33,IF(P37=H34,M34))))))))</f>
        <v>1.4</v>
      </c>
      <c r="S37" s="1182"/>
    </row>
    <row r="38" customHeight="1" spans="1:19">
      <c r="A38" s="31"/>
      <c r="B38" s="9" t="s">
        <v>250</v>
      </c>
      <c r="C38" s="321">
        <v>1.6</v>
      </c>
      <c r="D38" s="32"/>
      <c r="F38" s="1163" t="s">
        <v>251</v>
      </c>
      <c r="G38" s="1147">
        <v>30000</v>
      </c>
      <c r="H38" s="1147" t="s">
        <v>246</v>
      </c>
      <c r="I38" s="1147" t="s">
        <v>252</v>
      </c>
      <c r="J38" s="1147">
        <v>1</v>
      </c>
      <c r="K38" s="1147">
        <v>0</v>
      </c>
      <c r="L38" s="1147">
        <v>0.4</v>
      </c>
      <c r="M38" s="1147" t="s">
        <v>253</v>
      </c>
      <c r="O38" s="661" t="s">
        <v>230</v>
      </c>
      <c r="P38" s="765">
        <f>IF(P36&lt;=H28,H28,IF(P36&lt;=H29,H29,IF(P36&lt;=H30,H30,IF(P36&lt;=H31,H31,IF(P36&lt;=H32,H32,IF(P36&lt;=H307,H33,IF(P36&lt;=H34,H34,H35)))))))</f>
        <v>0.058</v>
      </c>
      <c r="Q38" s="1180">
        <f>IF(P38=H28,I28,IF(P38=H29,I29,IF(P38=H30,I30,IF(P38=H31,I31,IF(P38=H32,I32,IF(P38=H33,I33,IF(P38=H34,I34,IF(P38=H35,I35))))))))</f>
        <v>0.43</v>
      </c>
      <c r="R38" s="1180">
        <f>IF(P38=H28,M28,IF(P38=H29,M29,IF(P38=H30,M30,IF(P38=H31,M31,IF(P38=H32,M32,IF(P38=H33,M33,IF(P38=H34,M34,IF(P38=H35,M35))))))))</f>
        <v>1.3</v>
      </c>
      <c r="S38" s="1182"/>
    </row>
    <row r="39" customHeight="1" spans="1:13">
      <c r="A39" s="31"/>
      <c r="B39" s="9" t="s">
        <v>254</v>
      </c>
      <c r="C39" s="97">
        <f>C12/2/C38</f>
        <v>472.692310137229</v>
      </c>
      <c r="D39" s="32"/>
      <c r="F39" s="1163" t="s">
        <v>255</v>
      </c>
      <c r="G39" s="1147">
        <v>20000</v>
      </c>
      <c r="H39" s="1147" t="s">
        <v>246</v>
      </c>
      <c r="I39" s="1147" t="s">
        <v>252</v>
      </c>
      <c r="J39" s="1147" t="s">
        <v>246</v>
      </c>
      <c r="K39" s="1147">
        <v>1</v>
      </c>
      <c r="L39" s="1147" t="s">
        <v>253</v>
      </c>
      <c r="M39" s="1147">
        <v>0.65</v>
      </c>
    </row>
    <row r="40" customHeight="1" spans="1:13">
      <c r="A40" s="31"/>
      <c r="B40" s="9" t="s">
        <v>256</v>
      </c>
      <c r="C40" s="97">
        <f>C13/2/C38</f>
        <v>273.642700898777</v>
      </c>
      <c r="D40" s="32"/>
      <c r="F40" s="1163" t="s">
        <v>257</v>
      </c>
      <c r="G40" s="1147">
        <v>10000</v>
      </c>
      <c r="H40" s="1147" t="s">
        <v>246</v>
      </c>
      <c r="I40" s="1147" t="s">
        <v>252</v>
      </c>
      <c r="J40" s="1147" t="s">
        <v>246</v>
      </c>
      <c r="K40" s="1147">
        <v>1</v>
      </c>
      <c r="L40" s="1147" t="s">
        <v>253</v>
      </c>
      <c r="M40" s="1147">
        <v>0.67</v>
      </c>
    </row>
    <row r="41" customHeight="1" spans="1:4">
      <c r="A41" s="31"/>
      <c r="B41" s="193" t="s">
        <v>207</v>
      </c>
      <c r="C41" s="151" t="s">
        <v>208</v>
      </c>
      <c r="D41" s="1164"/>
    </row>
    <row r="42" customHeight="1" spans="1:6">
      <c r="A42" s="31"/>
      <c r="B42" s="1141" t="str">
        <f>IF(C41="左侧轴承被压紧","左轴承轴向力Fa1(N)",IF(C41="右侧轴承被压紧","右轴承轴向力Fa2(N)","请选择被压紧轴承"))</f>
        <v>左轴承轴向力Fa1(N)</v>
      </c>
      <c r="C42" s="104">
        <f>IF(C41="左侧轴承被压紧",ABS(C6)+C40,IF(C41="右侧轴承被压紧",ABS(C6)+C39,"请选择被压紧轴承"))</f>
        <v>673.642700898777</v>
      </c>
      <c r="D42" s="89"/>
      <c r="F42" s="47" t="s">
        <v>258</v>
      </c>
    </row>
    <row r="43" customHeight="1" spans="1:14">
      <c r="A43" s="31"/>
      <c r="B43" s="1165" t="str">
        <f>IF(C41="左侧轴承被压紧","右轴承轴向力Fa2(N)",IF(C41="右侧轴承被压紧","左轴承轴向力Fa1(N)","请选择被压紧轴承"))</f>
        <v>右轴承轴向力Fa2(N)</v>
      </c>
      <c r="C43" s="104">
        <f>IF(C41="左侧轴承被压紧",C40,IF(C41="右侧轴承被压紧",C39,"请选择被压紧轴承"))</f>
        <v>273.642700898777</v>
      </c>
      <c r="D43" s="89"/>
      <c r="F43" s="1139" t="s">
        <v>259</v>
      </c>
      <c r="G43" s="1139"/>
      <c r="H43" s="1136" t="s">
        <v>260</v>
      </c>
      <c r="I43" s="1139" t="s">
        <v>172</v>
      </c>
      <c r="J43" s="1139"/>
      <c r="K43" s="1139"/>
      <c r="L43" s="1139"/>
      <c r="M43" s="1139"/>
      <c r="N43" s="1139"/>
    </row>
    <row r="44" customHeight="1" spans="1:14">
      <c r="A44" s="754" t="s">
        <v>261</v>
      </c>
      <c r="B44" s="755"/>
      <c r="C44" s="755"/>
      <c r="D44" s="756"/>
      <c r="F44" s="333" t="s">
        <v>262</v>
      </c>
      <c r="G44" s="333"/>
      <c r="H44" s="6" t="s">
        <v>263</v>
      </c>
      <c r="I44" s="333" t="s">
        <v>264</v>
      </c>
      <c r="J44" s="333"/>
      <c r="K44" s="333"/>
      <c r="L44" s="333"/>
      <c r="M44" s="333"/>
      <c r="N44" s="333"/>
    </row>
    <row r="45" customHeight="1" spans="1:14">
      <c r="A45" s="744" t="s">
        <v>265</v>
      </c>
      <c r="B45" s="744"/>
      <c r="C45" s="744"/>
      <c r="D45" s="744"/>
      <c r="F45" s="1139" t="s">
        <v>266</v>
      </c>
      <c r="G45" s="1139"/>
      <c r="H45" s="1136" t="s">
        <v>267</v>
      </c>
      <c r="I45" s="1139" t="s">
        <v>268</v>
      </c>
      <c r="J45" s="1139"/>
      <c r="K45" s="1139"/>
      <c r="L45" s="1139"/>
      <c r="M45" s="1139"/>
      <c r="N45" s="1139"/>
    </row>
    <row r="46" customHeight="1" spans="1:14">
      <c r="A46" s="9" t="s">
        <v>269</v>
      </c>
      <c r="B46" s="9" t="s">
        <v>270</v>
      </c>
      <c r="C46" s="32" t="s">
        <v>271</v>
      </c>
      <c r="D46" s="9" t="s">
        <v>272</v>
      </c>
      <c r="F46" s="333" t="s">
        <v>273</v>
      </c>
      <c r="G46" s="333"/>
      <c r="H46" s="6" t="s">
        <v>274</v>
      </c>
      <c r="I46" s="333" t="s">
        <v>275</v>
      </c>
      <c r="J46" s="333"/>
      <c r="K46" s="333"/>
      <c r="L46" s="333"/>
      <c r="M46" s="333"/>
      <c r="N46" s="333"/>
    </row>
    <row r="47" customHeight="1" spans="1:14">
      <c r="A47" s="304" t="s">
        <v>164</v>
      </c>
      <c r="B47" s="9" t="s">
        <v>276</v>
      </c>
      <c r="C47" s="94">
        <v>5500</v>
      </c>
      <c r="D47" s="9"/>
      <c r="F47" s="47" t="s">
        <v>277</v>
      </c>
      <c r="G47" s="1166"/>
      <c r="H47" s="470"/>
      <c r="I47" s="1166"/>
      <c r="J47" s="1166"/>
      <c r="K47" s="1166"/>
      <c r="L47" s="1166"/>
      <c r="M47" s="1166"/>
      <c r="N47" s="1166"/>
    </row>
    <row r="48" customHeight="1" spans="1:14">
      <c r="A48" s="308"/>
      <c r="B48" s="9" t="s">
        <v>278</v>
      </c>
      <c r="C48" s="91">
        <v>2500</v>
      </c>
      <c r="D48" s="9"/>
      <c r="F48" s="47" t="s">
        <v>279</v>
      </c>
      <c r="G48" s="1167" t="s">
        <v>280</v>
      </c>
      <c r="H48" s="47">
        <v>125</v>
      </c>
      <c r="I48" s="47">
        <v>150</v>
      </c>
      <c r="J48" s="47">
        <v>175</v>
      </c>
      <c r="K48" s="47">
        <v>200</v>
      </c>
      <c r="L48" s="47">
        <v>225</v>
      </c>
      <c r="M48" s="47">
        <v>250</v>
      </c>
      <c r="N48" s="47">
        <v>300</v>
      </c>
    </row>
    <row r="49" customHeight="1" spans="1:14">
      <c r="A49" s="308"/>
      <c r="B49" s="9" t="s">
        <v>281</v>
      </c>
      <c r="C49" s="91">
        <v>1250</v>
      </c>
      <c r="D49" s="9"/>
      <c r="F49" s="47" t="s">
        <v>282</v>
      </c>
      <c r="G49" s="47">
        <v>1</v>
      </c>
      <c r="H49" s="47">
        <v>0.95</v>
      </c>
      <c r="I49" s="47">
        <v>0.9</v>
      </c>
      <c r="J49" s="47">
        <v>0.85</v>
      </c>
      <c r="K49" s="47">
        <v>0.8</v>
      </c>
      <c r="L49" s="47">
        <v>0.75</v>
      </c>
      <c r="M49" s="47">
        <v>0.7</v>
      </c>
      <c r="N49" s="47">
        <v>0.6</v>
      </c>
    </row>
    <row r="50" customHeight="1" spans="1:4">
      <c r="A50" s="308"/>
      <c r="B50" s="9" t="s">
        <v>283</v>
      </c>
      <c r="C50" s="91">
        <v>5000</v>
      </c>
      <c r="D50" s="9" t="s">
        <v>284</v>
      </c>
    </row>
    <row r="51" customHeight="1" spans="1:6">
      <c r="A51" s="318"/>
      <c r="B51" s="9" t="s">
        <v>285</v>
      </c>
      <c r="C51" s="91">
        <v>50</v>
      </c>
      <c r="D51" s="9"/>
      <c r="F51" s="47" t="s">
        <v>286</v>
      </c>
    </row>
    <row r="52" customHeight="1" spans="1:4">
      <c r="A52" s="90" t="s">
        <v>287</v>
      </c>
      <c r="B52" s="9" t="s">
        <v>248</v>
      </c>
      <c r="C52" s="186">
        <v>6310</v>
      </c>
      <c r="D52" s="1168" t="s">
        <v>288</v>
      </c>
    </row>
    <row r="53" customHeight="1" spans="1:4">
      <c r="A53" s="93"/>
      <c r="B53" s="9" t="s">
        <v>289</v>
      </c>
      <c r="C53" s="321">
        <v>62000</v>
      </c>
      <c r="D53" s="1169"/>
    </row>
    <row r="54" customHeight="1" spans="1:4">
      <c r="A54" s="93"/>
      <c r="B54" s="9" t="s">
        <v>229</v>
      </c>
      <c r="C54" s="321">
        <v>38500</v>
      </c>
      <c r="D54" s="1170"/>
    </row>
    <row r="55" customHeight="1" spans="1:4">
      <c r="A55" s="31" t="s">
        <v>290</v>
      </c>
      <c r="B55" s="168" t="s">
        <v>291</v>
      </c>
      <c r="C55" s="112">
        <f>C48/C54</f>
        <v>0.0649350649350649</v>
      </c>
      <c r="D55" s="9"/>
    </row>
    <row r="56" customHeight="1" spans="1:4">
      <c r="A56" s="31"/>
      <c r="B56" s="168" t="s">
        <v>292</v>
      </c>
      <c r="C56" s="1171">
        <f>Q20</f>
        <v>0.264935064935065</v>
      </c>
      <c r="D56" s="1172" t="s">
        <v>293</v>
      </c>
    </row>
    <row r="57" customHeight="1" spans="1:4">
      <c r="A57" s="31"/>
      <c r="B57" s="168" t="s">
        <v>294</v>
      </c>
      <c r="C57" s="97">
        <f>C48/C47</f>
        <v>0.454545454545455</v>
      </c>
      <c r="D57" s="9"/>
    </row>
    <row r="58" customHeight="1" spans="1:4">
      <c r="A58" s="31"/>
      <c r="B58" s="168" t="s">
        <v>295</v>
      </c>
      <c r="C58" s="391" t="str">
        <f>IF(C57&gt;C56,"Fa/Fr＞e","Fa/Fr≤e")</f>
        <v>Fa/Fr＞e</v>
      </c>
      <c r="D58" s="9"/>
    </row>
    <row r="59" customHeight="1" spans="1:4">
      <c r="A59" s="31"/>
      <c r="B59" s="168" t="s">
        <v>296</v>
      </c>
      <c r="C59" s="32">
        <f>IF(C57&gt;C56,0.56,1)</f>
        <v>0.56</v>
      </c>
      <c r="D59" s="99" t="s">
        <v>297</v>
      </c>
    </row>
    <row r="60" customHeight="1" spans="1:15">
      <c r="A60" s="31"/>
      <c r="B60" s="168" t="s">
        <v>298</v>
      </c>
      <c r="C60" s="112">
        <f>R20</f>
        <v>1.63376623376623</v>
      </c>
      <c r="D60" s="1172" t="s">
        <v>293</v>
      </c>
      <c r="F60" s="47" t="s">
        <v>299</v>
      </c>
      <c r="O60" s="47" t="s">
        <v>300</v>
      </c>
    </row>
    <row r="61" customHeight="1" spans="1:4">
      <c r="A61" s="31"/>
      <c r="B61" s="168" t="s">
        <v>301</v>
      </c>
      <c r="C61" s="105">
        <v>1.2</v>
      </c>
      <c r="D61" s="9" t="s">
        <v>302</v>
      </c>
    </row>
    <row r="62" customHeight="1" spans="1:4">
      <c r="A62" s="31"/>
      <c r="B62" s="168" t="s">
        <v>303</v>
      </c>
      <c r="C62" s="105">
        <v>1</v>
      </c>
      <c r="D62" s="9" t="s">
        <v>304</v>
      </c>
    </row>
    <row r="63" customHeight="1" spans="1:4">
      <c r="A63" s="31"/>
      <c r="B63" s="168" t="s">
        <v>305</v>
      </c>
      <c r="C63" s="97">
        <f>C61*(C59*C47+C60*C48)</f>
        <v>8597.2987012987</v>
      </c>
      <c r="D63" s="9" t="s">
        <v>306</v>
      </c>
    </row>
    <row r="64" customHeight="1" spans="1:4">
      <c r="A64" s="31" t="s">
        <v>307</v>
      </c>
      <c r="B64" s="168" t="s">
        <v>308</v>
      </c>
      <c r="C64" s="97">
        <v>3</v>
      </c>
      <c r="D64" s="1173"/>
    </row>
    <row r="65" customHeight="1" spans="1:4">
      <c r="A65" s="31"/>
      <c r="B65" s="168" t="s">
        <v>309</v>
      </c>
      <c r="C65" s="97">
        <f>C63/C62*(60*C49*C50/10^6)^(1/C64)</f>
        <v>61997.2517887625</v>
      </c>
      <c r="D65" s="9"/>
    </row>
    <row r="66" customHeight="1" spans="1:4">
      <c r="A66" s="31"/>
      <c r="B66" s="1183" t="str">
        <f>IF(C53&lt;C65,"C＞Cr","C≤Cr")</f>
        <v>C≤Cr</v>
      </c>
      <c r="C66" s="1184" t="str">
        <f>IF(C53&lt;C65,"轴承额定动载荷Cr不满足要求，请重选","轴承额定动载荷Cr满足要求")</f>
        <v>轴承额定动载荷Cr满足要求</v>
      </c>
      <c r="D66" s="1185"/>
    </row>
    <row r="67" customHeight="1" spans="1:4">
      <c r="A67" s="31"/>
      <c r="B67" s="1186" t="s">
        <v>310</v>
      </c>
      <c r="C67" s="259">
        <f>10^6/60/C49*(C53*C62/C63)^C64</f>
        <v>5000.66494876369</v>
      </c>
      <c r="D67" s="9"/>
    </row>
    <row r="68" customHeight="1" spans="1:4">
      <c r="A68" s="31"/>
      <c r="B68" s="208" t="str">
        <f>IF(C67&lt;C50,"Ls＜Lh","Ls≥Lh")</f>
        <v>Ls≥Lh</v>
      </c>
      <c r="C68" s="207" t="str">
        <f>IF(C67&lt;C50,"低于预期寿命,请重选轴承并验算寿命","寿命满足要求，可以使用")</f>
        <v>寿命满足要求，可以使用</v>
      </c>
      <c r="D68" s="208"/>
    </row>
    <row r="69" customHeight="1" spans="1:6">
      <c r="A69" s="31"/>
      <c r="B69" s="1187" t="s">
        <v>311</v>
      </c>
      <c r="C69" s="1188"/>
      <c r="D69" s="1188"/>
      <c r="F69" s="47" t="s">
        <v>312</v>
      </c>
    </row>
    <row r="70" customHeight="1" spans="1:4">
      <c r="A70" s="744" t="s">
        <v>313</v>
      </c>
      <c r="B70" s="744"/>
      <c r="C70" s="744"/>
      <c r="D70" s="744"/>
    </row>
    <row r="71" customHeight="1" spans="1:4">
      <c r="A71" s="9" t="s">
        <v>269</v>
      </c>
      <c r="B71" s="9" t="s">
        <v>270</v>
      </c>
      <c r="C71" s="32" t="s">
        <v>271</v>
      </c>
      <c r="D71" s="9" t="s">
        <v>272</v>
      </c>
    </row>
    <row r="72" customHeight="1" spans="1:4">
      <c r="A72" s="304" t="s">
        <v>164</v>
      </c>
      <c r="B72" s="9" t="s">
        <v>276</v>
      </c>
      <c r="C72" s="94">
        <v>5500</v>
      </c>
      <c r="D72" s="9"/>
    </row>
    <row r="73" customHeight="1" spans="1:4">
      <c r="A73" s="308"/>
      <c r="B73" s="9" t="s">
        <v>278</v>
      </c>
      <c r="C73" s="91">
        <v>2500</v>
      </c>
      <c r="D73" s="9"/>
    </row>
    <row r="74" customHeight="1" spans="1:4">
      <c r="A74" s="308"/>
      <c r="B74" s="9" t="s">
        <v>281</v>
      </c>
      <c r="C74" s="91">
        <v>1250</v>
      </c>
      <c r="D74" s="9"/>
    </row>
    <row r="75" customHeight="1" spans="1:4">
      <c r="A75" s="308"/>
      <c r="B75" s="9" t="s">
        <v>283</v>
      </c>
      <c r="C75" s="91">
        <v>5000</v>
      </c>
      <c r="D75" s="9" t="s">
        <v>284</v>
      </c>
    </row>
    <row r="76" customHeight="1" spans="1:4">
      <c r="A76" s="318"/>
      <c r="B76" s="9" t="s">
        <v>285</v>
      </c>
      <c r="C76" s="91">
        <v>30</v>
      </c>
      <c r="D76" s="9"/>
    </row>
    <row r="77" customHeight="1" spans="1:4">
      <c r="A77" s="90" t="s">
        <v>287</v>
      </c>
      <c r="B77" s="92" t="s">
        <v>314</v>
      </c>
      <c r="C77" s="1189" t="s">
        <v>315</v>
      </c>
      <c r="D77" s="1190"/>
    </row>
    <row r="78" customHeight="1" spans="1:4">
      <c r="A78" s="93"/>
      <c r="B78" s="92" t="s">
        <v>248</v>
      </c>
      <c r="C78" s="186">
        <v>32206</v>
      </c>
      <c r="D78" s="1168" t="s">
        <v>288</v>
      </c>
    </row>
    <row r="79" customHeight="1" spans="1:4">
      <c r="A79" s="93"/>
      <c r="B79" s="9" t="s">
        <v>289</v>
      </c>
      <c r="C79" s="321">
        <v>52000</v>
      </c>
      <c r="D79" s="1169"/>
    </row>
    <row r="80" customHeight="1" spans="1:4">
      <c r="A80" s="93"/>
      <c r="B80" s="9" t="s">
        <v>229</v>
      </c>
      <c r="C80" s="321">
        <v>60000</v>
      </c>
      <c r="D80" s="1170"/>
    </row>
    <row r="81" customHeight="1" spans="1:4">
      <c r="A81" s="93"/>
      <c r="B81" s="168" t="s">
        <v>316</v>
      </c>
      <c r="C81" s="321">
        <v>0.38</v>
      </c>
      <c r="D81" s="1191" t="s">
        <v>317</v>
      </c>
    </row>
    <row r="82" customHeight="1" spans="1:4">
      <c r="A82" s="95"/>
      <c r="B82" s="168" t="s">
        <v>250</v>
      </c>
      <c r="C82" s="321">
        <v>1.6</v>
      </c>
      <c r="D82" s="1192"/>
    </row>
    <row r="83" customHeight="1" spans="1:4">
      <c r="A83" s="90" t="s">
        <v>290</v>
      </c>
      <c r="B83" s="168" t="s">
        <v>291</v>
      </c>
      <c r="C83" s="112">
        <f>C73/C80</f>
        <v>0.0416666666666667</v>
      </c>
      <c r="D83" s="9"/>
    </row>
    <row r="84" customHeight="1" spans="1:4">
      <c r="A84" s="93"/>
      <c r="B84" s="168" t="s">
        <v>294</v>
      </c>
      <c r="C84" s="97">
        <f>C73/C72</f>
        <v>0.454545454545455</v>
      </c>
      <c r="D84" s="9"/>
    </row>
    <row r="85" customHeight="1" spans="1:4">
      <c r="A85" s="93"/>
      <c r="B85" s="168" t="s">
        <v>318</v>
      </c>
      <c r="C85" s="1171">
        <f>IF(C77="角接触球轴承7000C(15°)",Q26,IF(C77="角接触球轴承7000AC(25°)",0.68,IF(C77="角接触球轴承7000B(40°)",1.16,C81)))</f>
        <v>0.38</v>
      </c>
      <c r="D85" s="1193"/>
    </row>
    <row r="86" customHeight="1" spans="1:4">
      <c r="A86" s="93"/>
      <c r="B86" s="168" t="s">
        <v>295</v>
      </c>
      <c r="C86" s="391" t="str">
        <f>IF(C84&gt;C85,"Fa/Fr＞e","Fa/Fr≤e")</f>
        <v>Fa/Fr＞e</v>
      </c>
      <c r="D86" s="9"/>
    </row>
    <row r="87" customHeight="1" spans="1:4">
      <c r="A87" s="93"/>
      <c r="B87" s="168" t="s">
        <v>296</v>
      </c>
      <c r="C87" s="32">
        <f>IF(C84&gt;C85,IF(C77="角接触球轴承7000C(15°)",0.44,IF(C77="角接触球轴承7000AC(25°)",0.41,IF(C77="角接触球轴承7000B(40°)",0.35,0.4))),1)</f>
        <v>0.4</v>
      </c>
      <c r="D87" s="99" t="s">
        <v>297</v>
      </c>
    </row>
    <row r="88" customHeight="1" spans="1:4">
      <c r="A88" s="93"/>
      <c r="B88" s="168" t="s">
        <v>298</v>
      </c>
      <c r="C88" s="112">
        <f>IF(C84&gt;C85,IF(C77="角接触球轴承7000C(15°)",R26,IF(C77="角接触球轴承7000AC(25°)",0.87,IF(C77="角接触球轴承7000B(40°)",0.57,C82))),0)</f>
        <v>1.6</v>
      </c>
      <c r="D88" s="1172"/>
    </row>
    <row r="89" customHeight="1" spans="1:4">
      <c r="A89" s="93"/>
      <c r="B89" s="168" t="s">
        <v>301</v>
      </c>
      <c r="C89" s="105">
        <v>1.2</v>
      </c>
      <c r="D89" s="9" t="s">
        <v>302</v>
      </c>
    </row>
    <row r="90" customHeight="1" spans="1:6">
      <c r="A90" s="93"/>
      <c r="B90" s="168" t="s">
        <v>303</v>
      </c>
      <c r="C90" s="105">
        <v>1</v>
      </c>
      <c r="D90" s="9" t="s">
        <v>304</v>
      </c>
      <c r="F90" s="47" t="s">
        <v>319</v>
      </c>
    </row>
    <row r="91" customHeight="1" spans="1:4">
      <c r="A91" s="95"/>
      <c r="B91" s="168" t="s">
        <v>305</v>
      </c>
      <c r="C91" s="97">
        <f>C89*(C87*C72+C88*C73)</f>
        <v>7440</v>
      </c>
      <c r="D91" s="9" t="s">
        <v>306</v>
      </c>
    </row>
    <row r="92" customHeight="1" spans="1:4">
      <c r="A92" s="31" t="s">
        <v>307</v>
      </c>
      <c r="B92" s="168" t="s">
        <v>308</v>
      </c>
      <c r="C92" s="97">
        <f>IF(C77="圆锥滚子轴承(3系)",10/3,3)</f>
        <v>3.33333333333333</v>
      </c>
      <c r="D92" s="661"/>
    </row>
    <row r="93" customHeight="1" spans="1:4">
      <c r="A93" s="31"/>
      <c r="B93" s="168" t="s">
        <v>309</v>
      </c>
      <c r="C93" s="97">
        <f>C91/C90*(60*C74*C75/10^6)^(1/C92)</f>
        <v>44033.409677334</v>
      </c>
      <c r="D93" s="9"/>
    </row>
    <row r="94" customHeight="1" spans="1:4">
      <c r="A94" s="31"/>
      <c r="B94" s="1183" t="str">
        <f>IF(C79&lt;C93,"C＞Cr","C≤Cr")</f>
        <v>C≤Cr</v>
      </c>
      <c r="C94" s="1184" t="str">
        <f>IF(C79&lt;C93,"轴承额定动载荷Cr不满足要求，请重选","轴承额定动载荷Cr满足要求")</f>
        <v>轴承额定动载荷Cr满足要求</v>
      </c>
      <c r="D94" s="1185"/>
    </row>
    <row r="95" customHeight="1" spans="1:4">
      <c r="A95" s="31"/>
      <c r="B95" s="1186" t="s">
        <v>310</v>
      </c>
      <c r="C95" s="259">
        <f>10^6/60/C74*(C79*C90/C91)^C92</f>
        <v>8703.75712237287</v>
      </c>
      <c r="D95" s="9"/>
    </row>
    <row r="96" customHeight="1" spans="1:4">
      <c r="A96" s="31"/>
      <c r="B96" s="208" t="str">
        <f>IF(C95&lt;C75,"Ls＜Lh","Ls≥Lh")</f>
        <v>Ls≥Lh</v>
      </c>
      <c r="C96" s="207" t="str">
        <f>IF(C95&lt;C75,"低于预期寿命,请重选轴承并验算寿命","寿命满足要求，可以使用")</f>
        <v>寿命满足要求，可以使用</v>
      </c>
      <c r="D96" s="208"/>
    </row>
    <row r="97" customHeight="1" spans="1:4">
      <c r="A97" s="31"/>
      <c r="B97" s="1194" t="s">
        <v>311</v>
      </c>
      <c r="C97" s="1195"/>
      <c r="D97" s="1195"/>
    </row>
    <row r="98" customHeight="1" spans="1:4">
      <c r="A98" s="744" t="s">
        <v>320</v>
      </c>
      <c r="B98" s="744"/>
      <c r="C98" s="744"/>
      <c r="D98" s="744"/>
    </row>
    <row r="99" customHeight="1" spans="1:4">
      <c r="A99" s="9" t="s">
        <v>269</v>
      </c>
      <c r="B99" s="9" t="s">
        <v>270</v>
      </c>
      <c r="C99" s="32" t="s">
        <v>271</v>
      </c>
      <c r="D99" s="9" t="s">
        <v>272</v>
      </c>
    </row>
    <row r="100" customHeight="1" spans="1:4">
      <c r="A100" s="304" t="s">
        <v>164</v>
      </c>
      <c r="B100" s="9" t="s">
        <v>276</v>
      </c>
      <c r="C100" s="94">
        <v>5500</v>
      </c>
      <c r="D100" s="92" t="s">
        <v>321</v>
      </c>
    </row>
    <row r="101" customHeight="1" spans="1:4">
      <c r="A101" s="308"/>
      <c r="B101" s="9" t="s">
        <v>281</v>
      </c>
      <c r="C101" s="91">
        <v>1250</v>
      </c>
      <c r="D101" s="9"/>
    </row>
    <row r="102" customHeight="1" spans="1:4">
      <c r="A102" s="308"/>
      <c r="B102" s="9" t="s">
        <v>283</v>
      </c>
      <c r="C102" s="91">
        <v>5000</v>
      </c>
      <c r="D102" s="9" t="s">
        <v>284</v>
      </c>
    </row>
    <row r="103" customHeight="1" spans="1:4">
      <c r="A103" s="318"/>
      <c r="B103" s="9" t="s">
        <v>285</v>
      </c>
      <c r="C103" s="91">
        <v>40</v>
      </c>
      <c r="D103" s="9"/>
    </row>
    <row r="104" customHeight="1" spans="1:4">
      <c r="A104" s="90" t="s">
        <v>322</v>
      </c>
      <c r="B104" s="168" t="s">
        <v>301</v>
      </c>
      <c r="C104" s="105">
        <v>1.2</v>
      </c>
      <c r="D104" s="9" t="s">
        <v>302</v>
      </c>
    </row>
    <row r="105" customHeight="1" spans="1:4">
      <c r="A105" s="93"/>
      <c r="B105" s="168" t="s">
        <v>303</v>
      </c>
      <c r="C105" s="105">
        <v>1</v>
      </c>
      <c r="D105" s="9" t="s">
        <v>304</v>
      </c>
    </row>
    <row r="106" customHeight="1" spans="1:4">
      <c r="A106" s="93"/>
      <c r="B106" s="168" t="s">
        <v>305</v>
      </c>
      <c r="C106" s="97">
        <f>C104*C100</f>
        <v>6600</v>
      </c>
      <c r="D106" s="9" t="s">
        <v>323</v>
      </c>
    </row>
    <row r="107" customHeight="1" spans="1:4">
      <c r="A107" s="93"/>
      <c r="B107" s="168" t="s">
        <v>308</v>
      </c>
      <c r="C107" s="97">
        <v>3.33333333333333</v>
      </c>
      <c r="D107" s="661"/>
    </row>
    <row r="108" customHeight="1" spans="1:4">
      <c r="A108" s="95"/>
      <c r="B108" s="168" t="s">
        <v>309</v>
      </c>
      <c r="C108" s="97">
        <f>C106/C105*(60*C101*C102/10^6)^(1/C107)</f>
        <v>39061.8956815061</v>
      </c>
      <c r="D108" s="9"/>
    </row>
    <row r="109" customHeight="1" spans="1:4">
      <c r="A109" s="31" t="s">
        <v>324</v>
      </c>
      <c r="B109" s="92" t="s">
        <v>325</v>
      </c>
      <c r="C109" s="186" t="s">
        <v>326</v>
      </c>
      <c r="D109" s="1168" t="s">
        <v>288</v>
      </c>
    </row>
    <row r="110" customHeight="1" spans="1:4">
      <c r="A110" s="31"/>
      <c r="B110" s="9" t="s">
        <v>289</v>
      </c>
      <c r="C110" s="321">
        <v>43500</v>
      </c>
      <c r="D110" s="1169"/>
    </row>
    <row r="111" customHeight="1" spans="1:4">
      <c r="A111" s="31"/>
      <c r="B111" s="9" t="s">
        <v>229</v>
      </c>
      <c r="C111" s="321">
        <v>43000</v>
      </c>
      <c r="D111" s="1170"/>
    </row>
    <row r="112" customHeight="1" spans="1:4">
      <c r="A112" s="90" t="s">
        <v>327</v>
      </c>
      <c r="B112" s="1186" t="s">
        <v>310</v>
      </c>
      <c r="C112" s="259">
        <f>10^6/60/C101*(C110*C105/C106)^C107</f>
        <v>7157.41954071206</v>
      </c>
      <c r="D112" s="9"/>
    </row>
    <row r="113" customHeight="1" spans="1:4">
      <c r="A113" s="95"/>
      <c r="B113" s="208" t="str">
        <f>IF(C112&lt;C102,"Ls＜Lh","Ls≥Lh")</f>
        <v>Ls≥Lh</v>
      </c>
      <c r="C113" s="207" t="str">
        <f>IF(C112&lt;C102,"低于预期寿命,请重选轴承并验算寿命","寿命满足要求，可以使用")</f>
        <v>寿命满足要求，可以使用</v>
      </c>
      <c r="D113" s="208"/>
    </row>
    <row r="114" customHeight="1" spans="1:4">
      <c r="A114" s="744" t="s">
        <v>328</v>
      </c>
      <c r="B114" s="744"/>
      <c r="C114" s="744"/>
      <c r="D114" s="744"/>
    </row>
    <row r="115" customHeight="1" spans="1:4">
      <c r="A115" s="9" t="s">
        <v>269</v>
      </c>
      <c r="B115" s="9" t="s">
        <v>270</v>
      </c>
      <c r="C115" s="32" t="s">
        <v>271</v>
      </c>
      <c r="D115" s="9" t="s">
        <v>272</v>
      </c>
    </row>
    <row r="116" customHeight="1" spans="1:4">
      <c r="A116" s="304" t="s">
        <v>164</v>
      </c>
      <c r="B116" s="9" t="s">
        <v>276</v>
      </c>
      <c r="C116" s="94">
        <v>5500</v>
      </c>
      <c r="D116" s="9"/>
    </row>
    <row r="117" customHeight="1" spans="1:4">
      <c r="A117" s="308"/>
      <c r="B117" s="9" t="s">
        <v>278</v>
      </c>
      <c r="C117" s="91">
        <v>2500</v>
      </c>
      <c r="D117" s="9"/>
    </row>
    <row r="118" customHeight="1" spans="1:4">
      <c r="A118" s="308"/>
      <c r="B118" s="9" t="s">
        <v>281</v>
      </c>
      <c r="C118" s="91">
        <v>1250</v>
      </c>
      <c r="D118" s="9"/>
    </row>
    <row r="119" customHeight="1" spans="1:4">
      <c r="A119" s="308"/>
      <c r="B119" s="9" t="s">
        <v>283</v>
      </c>
      <c r="C119" s="91">
        <v>5000</v>
      </c>
      <c r="D119" s="9" t="s">
        <v>284</v>
      </c>
    </row>
    <row r="120" customHeight="1" spans="1:4">
      <c r="A120" s="318"/>
      <c r="B120" s="9" t="s">
        <v>285</v>
      </c>
      <c r="C120" s="91">
        <v>50</v>
      </c>
      <c r="D120" s="9"/>
    </row>
    <row r="121" customHeight="1" spans="1:4">
      <c r="A121" s="90" t="s">
        <v>287</v>
      </c>
      <c r="B121" s="92" t="s">
        <v>248</v>
      </c>
      <c r="C121" s="186"/>
      <c r="D121" s="1168" t="s">
        <v>288</v>
      </c>
    </row>
    <row r="122" customHeight="1" spans="1:4">
      <c r="A122" s="93"/>
      <c r="B122" s="9" t="s">
        <v>289</v>
      </c>
      <c r="C122" s="321"/>
      <c r="D122" s="1169"/>
    </row>
    <row r="123" customHeight="1" spans="1:4">
      <c r="A123" s="93"/>
      <c r="B123" s="9" t="s">
        <v>229</v>
      </c>
      <c r="C123" s="321"/>
      <c r="D123" s="1170"/>
    </row>
    <row r="124" customHeight="1" spans="1:4">
      <c r="A124" s="31" t="s">
        <v>290</v>
      </c>
      <c r="B124" s="168" t="s">
        <v>291</v>
      </c>
      <c r="C124" s="112" t="e">
        <f>C117/C123</f>
        <v>#DIV/0!</v>
      </c>
      <c r="D124" s="9"/>
    </row>
    <row r="125" customHeight="1" spans="1:4">
      <c r="A125" s="31"/>
      <c r="B125" s="168" t="s">
        <v>292</v>
      </c>
      <c r="C125" s="1196"/>
      <c r="D125" s="1172" t="s">
        <v>293</v>
      </c>
    </row>
    <row r="126" customHeight="1" spans="1:4">
      <c r="A126" s="31"/>
      <c r="B126" s="168" t="s">
        <v>294</v>
      </c>
      <c r="C126" s="97">
        <f>C117/C116</f>
        <v>0.454545454545455</v>
      </c>
      <c r="D126" s="9"/>
    </row>
    <row r="127" customHeight="1" spans="1:4">
      <c r="A127" s="31"/>
      <c r="B127" s="168" t="s">
        <v>295</v>
      </c>
      <c r="C127" s="391" t="str">
        <f>IF(C126&gt;C125,"Fa/Fr＞e","Fa/Fr≤e")</f>
        <v>Fa/Fr＞e</v>
      </c>
      <c r="D127" s="9"/>
    </row>
    <row r="128" customHeight="1" spans="1:4">
      <c r="A128" s="31"/>
      <c r="B128" s="168" t="s">
        <v>296</v>
      </c>
      <c r="C128" s="94"/>
      <c r="D128" s="99" t="s">
        <v>297</v>
      </c>
    </row>
    <row r="129" customHeight="1" spans="1:4">
      <c r="A129" s="31"/>
      <c r="B129" s="168" t="s">
        <v>298</v>
      </c>
      <c r="C129" s="1197"/>
      <c r="D129" s="99" t="s">
        <v>297</v>
      </c>
    </row>
    <row r="130" customHeight="1" spans="1:4">
      <c r="A130" s="31"/>
      <c r="B130" s="168" t="s">
        <v>301</v>
      </c>
      <c r="C130" s="105">
        <v>1.2</v>
      </c>
      <c r="D130" s="9" t="s">
        <v>302</v>
      </c>
    </row>
    <row r="131" customHeight="1" spans="1:4">
      <c r="A131" s="31"/>
      <c r="B131" s="168" t="s">
        <v>303</v>
      </c>
      <c r="C131" s="105">
        <v>1</v>
      </c>
      <c r="D131" s="9" t="s">
        <v>304</v>
      </c>
    </row>
    <row r="132" customHeight="1" spans="1:4">
      <c r="A132" s="31"/>
      <c r="B132" s="168" t="s">
        <v>305</v>
      </c>
      <c r="C132" s="97"/>
      <c r="D132" s="9" t="s">
        <v>306</v>
      </c>
    </row>
    <row r="133" customHeight="1" spans="1:5">
      <c r="A133" s="31" t="s">
        <v>307</v>
      </c>
      <c r="B133" s="168" t="s">
        <v>308</v>
      </c>
      <c r="C133" s="1144" t="s">
        <v>329</v>
      </c>
      <c r="D133" s="1198">
        <f>IF(C133="球轴承",3,10/3)</f>
        <v>3</v>
      </c>
      <c r="E133" s="1199"/>
    </row>
    <row r="134" customHeight="1" spans="1:4">
      <c r="A134" s="31"/>
      <c r="B134" s="168" t="s">
        <v>309</v>
      </c>
      <c r="C134" s="97">
        <f>C132/C131*(60*C118*C119/10^6)^(1/D133)</f>
        <v>0</v>
      </c>
      <c r="D134" s="9"/>
    </row>
    <row r="135" customHeight="1" spans="1:4">
      <c r="A135" s="31"/>
      <c r="B135" s="1183" t="str">
        <f>IF(C122&lt;C134,"C＞Cr","C≤Cr")</f>
        <v>C≤Cr</v>
      </c>
      <c r="C135" s="1184" t="str">
        <f>IF(C122&lt;C134,"轴承额定动载荷Cr不满足要求，请重选","轴承额定动载荷Cr满足要求")</f>
        <v>轴承额定动载荷Cr满足要求</v>
      </c>
      <c r="D135" s="1185"/>
    </row>
    <row r="136" customHeight="1" spans="1:4">
      <c r="A136" s="31"/>
      <c r="B136" s="1186" t="s">
        <v>310</v>
      </c>
      <c r="C136" s="259" t="e">
        <f>10^6/60/C118*(C122*C131/C132)^D133</f>
        <v>#DIV/0!</v>
      </c>
      <c r="D136" s="9"/>
    </row>
    <row r="137" customHeight="1" spans="1:4">
      <c r="A137" s="31"/>
      <c r="B137" s="208" t="e">
        <f>IF(C136&lt;C119,"Ls＜Lh","Ls≥Lh")</f>
        <v>#DIV/0!</v>
      </c>
      <c r="C137" s="207" t="e">
        <f>IF(C136&lt;C119,"低于预期寿命,请重选轴承并验算寿命","寿命满足要求，可以使用")</f>
        <v>#DIV/0!</v>
      </c>
      <c r="D137" s="208"/>
    </row>
    <row r="138" customHeight="1" spans="1:4">
      <c r="A138" s="31"/>
      <c r="B138" s="1187" t="s">
        <v>311</v>
      </c>
      <c r="C138" s="1188"/>
      <c r="D138" s="1188"/>
    </row>
    <row r="139" customHeight="1" spans="1:6">
      <c r="A139" s="744"/>
      <c r="B139" s="744"/>
      <c r="C139" s="744"/>
      <c r="D139" s="744"/>
      <c r="F139" s="47" t="s">
        <v>330</v>
      </c>
    </row>
    <row r="140" customHeight="1" spans="1:4">
      <c r="A140" s="198" t="s">
        <v>331</v>
      </c>
      <c r="B140" s="198"/>
      <c r="C140" s="198"/>
      <c r="D140" s="198"/>
    </row>
    <row r="141" customHeight="1" spans="1:4">
      <c r="A141" s="198"/>
      <c r="B141" s="198"/>
      <c r="C141" s="198"/>
      <c r="D141" s="198"/>
    </row>
    <row r="142" customHeight="1" spans="1:4">
      <c r="A142" s="198"/>
      <c r="B142" s="198"/>
      <c r="C142" s="198"/>
      <c r="D142" s="198"/>
    </row>
    <row r="143" customHeight="1" spans="1:4">
      <c r="A143" s="198"/>
      <c r="B143" s="198"/>
      <c r="C143" s="198"/>
      <c r="D143" s="198"/>
    </row>
    <row r="144" customHeight="1" spans="1:4">
      <c r="A144" s="198"/>
      <c r="B144" s="198"/>
      <c r="C144" s="198"/>
      <c r="D144" s="198"/>
    </row>
    <row r="145" customHeight="1" spans="1:4">
      <c r="A145" s="198"/>
      <c r="B145" s="198"/>
      <c r="C145" s="198"/>
      <c r="D145" s="198"/>
    </row>
    <row r="146" customHeight="1" spans="1:4">
      <c r="A146" s="198"/>
      <c r="B146" s="198"/>
      <c r="C146" s="198"/>
      <c r="D146" s="198"/>
    </row>
    <row r="147" customHeight="1" spans="1:4">
      <c r="A147" s="198"/>
      <c r="B147" s="198"/>
      <c r="C147" s="198"/>
      <c r="D147" s="198"/>
    </row>
    <row r="148" customHeight="1" spans="1:6">
      <c r="A148" s="198"/>
      <c r="B148" s="198"/>
      <c r="C148" s="198"/>
      <c r="D148" s="198"/>
      <c r="F148" s="47" t="s">
        <v>332</v>
      </c>
    </row>
    <row r="149" customHeight="1" spans="1:4">
      <c r="A149" s="198"/>
      <c r="B149" s="198"/>
      <c r="C149" s="198"/>
      <c r="D149" s="198"/>
    </row>
    <row r="150" customHeight="1" spans="1:4">
      <c r="A150" s="198"/>
      <c r="B150" s="198"/>
      <c r="C150" s="198"/>
      <c r="D150" s="198"/>
    </row>
    <row r="151" customHeight="1" spans="1:4">
      <c r="A151" s="198"/>
      <c r="B151" s="198"/>
      <c r="C151" s="198"/>
      <c r="D151" s="198"/>
    </row>
    <row r="152" customHeight="1" spans="1:4">
      <c r="A152" s="198"/>
      <c r="B152" s="198"/>
      <c r="C152" s="198"/>
      <c r="D152" s="198"/>
    </row>
    <row r="153" customHeight="1" spans="1:4">
      <c r="A153" s="198"/>
      <c r="B153" s="198"/>
      <c r="C153" s="198"/>
      <c r="D153" s="198"/>
    </row>
    <row r="154" customHeight="1" spans="1:4">
      <c r="A154" s="198"/>
      <c r="B154" s="198"/>
      <c r="C154" s="198"/>
      <c r="D154" s="198"/>
    </row>
    <row r="155" customHeight="1" spans="1:4">
      <c r="A155" s="198"/>
      <c r="B155" s="198"/>
      <c r="C155" s="198"/>
      <c r="D155" s="198"/>
    </row>
    <row r="156" customHeight="1" spans="1:4">
      <c r="A156" s="198"/>
      <c r="B156" s="198"/>
      <c r="C156" s="198"/>
      <c r="D156" s="198"/>
    </row>
    <row r="157" customHeight="1" spans="1:4">
      <c r="A157" s="198"/>
      <c r="B157" s="198"/>
      <c r="C157" s="198"/>
      <c r="D157" s="198"/>
    </row>
    <row r="158" customHeight="1" spans="1:4">
      <c r="A158" s="198"/>
      <c r="B158" s="198"/>
      <c r="C158" s="198"/>
      <c r="D158" s="198"/>
    </row>
    <row r="159" customHeight="1" spans="1:4">
      <c r="A159" s="198"/>
      <c r="B159" s="198"/>
      <c r="C159" s="198"/>
      <c r="D159" s="198"/>
    </row>
    <row r="160" customHeight="1" spans="1:4">
      <c r="A160" s="198"/>
      <c r="B160" s="198"/>
      <c r="C160" s="198"/>
      <c r="D160" s="198"/>
    </row>
    <row r="161" customHeight="1" spans="1:4">
      <c r="A161" s="805" t="s">
        <v>333</v>
      </c>
      <c r="B161" s="806"/>
      <c r="C161" s="806"/>
      <c r="D161" s="807"/>
    </row>
    <row r="162" customHeight="1" spans="1:4">
      <c r="A162" s="805"/>
      <c r="B162" s="806"/>
      <c r="C162" s="806"/>
      <c r="D162" s="807"/>
    </row>
    <row r="163" customHeight="1" spans="1:4">
      <c r="A163" s="805"/>
      <c r="B163" s="806"/>
      <c r="C163" s="806"/>
      <c r="D163" s="807"/>
    </row>
    <row r="164" customHeight="1" spans="1:4">
      <c r="A164" s="808"/>
      <c r="B164" s="809"/>
      <c r="C164" s="809"/>
      <c r="D164" s="810"/>
    </row>
  </sheetData>
  <customSheetViews>
    <customSheetView guid="{27B96A40-A6B2-43F7-A93C-713F4207CB2A}">
      <selection activeCell="A1" sqref="A1:D1"/>
      <pageMargins left="0.7" right="0.7" top="0.75" bottom="0.75" header="0.3" footer="0.3"/>
      <pageSetup paperSize="9" orientation="portrait"/>
      <headerFooter/>
    </customSheetView>
  </customSheetViews>
  <mergeCells count="87">
    <mergeCell ref="A1:D1"/>
    <mergeCell ref="A2:D2"/>
    <mergeCell ref="G3:I3"/>
    <mergeCell ref="F9:H9"/>
    <mergeCell ref="F10:H10"/>
    <mergeCell ref="G11:H11"/>
    <mergeCell ref="G12:H12"/>
    <mergeCell ref="G13:H13"/>
    <mergeCell ref="A14:B14"/>
    <mergeCell ref="G14:H14"/>
    <mergeCell ref="G15:H15"/>
    <mergeCell ref="G16:H16"/>
    <mergeCell ref="J19:K19"/>
    <mergeCell ref="L19:M19"/>
    <mergeCell ref="F43:G43"/>
    <mergeCell ref="I43:N43"/>
    <mergeCell ref="A44:D44"/>
    <mergeCell ref="F44:G44"/>
    <mergeCell ref="I44:N44"/>
    <mergeCell ref="A45:D45"/>
    <mergeCell ref="F45:G45"/>
    <mergeCell ref="I45:N45"/>
    <mergeCell ref="F46:G46"/>
    <mergeCell ref="I46:N46"/>
    <mergeCell ref="C66:D66"/>
    <mergeCell ref="C68:D68"/>
    <mergeCell ref="B69:D69"/>
    <mergeCell ref="A70:D70"/>
    <mergeCell ref="C94:D94"/>
    <mergeCell ref="C96:D96"/>
    <mergeCell ref="B97:D97"/>
    <mergeCell ref="A98:D98"/>
    <mergeCell ref="C113:D113"/>
    <mergeCell ref="A114:D114"/>
    <mergeCell ref="C135:D135"/>
    <mergeCell ref="C137:D137"/>
    <mergeCell ref="B138:D138"/>
    <mergeCell ref="A139:D139"/>
    <mergeCell ref="A6:A11"/>
    <mergeCell ref="A12:A13"/>
    <mergeCell ref="A15:A20"/>
    <mergeCell ref="A21:A36"/>
    <mergeCell ref="A37:A43"/>
    <mergeCell ref="A47:A51"/>
    <mergeCell ref="A52:A54"/>
    <mergeCell ref="A55:A63"/>
    <mergeCell ref="A64:A69"/>
    <mergeCell ref="A72:A76"/>
    <mergeCell ref="A77:A82"/>
    <mergeCell ref="A83:A91"/>
    <mergeCell ref="A92:A97"/>
    <mergeCell ref="A100:A103"/>
    <mergeCell ref="A104:A108"/>
    <mergeCell ref="A109:A111"/>
    <mergeCell ref="A112:A113"/>
    <mergeCell ref="A116:A120"/>
    <mergeCell ref="A121:A123"/>
    <mergeCell ref="A124:A132"/>
    <mergeCell ref="A133:A138"/>
    <mergeCell ref="D31:D32"/>
    <mergeCell ref="D52:D54"/>
    <mergeCell ref="D78:D80"/>
    <mergeCell ref="D81:D82"/>
    <mergeCell ref="D109:D111"/>
    <mergeCell ref="D121:D123"/>
    <mergeCell ref="F3:F4"/>
    <mergeCell ref="F5:F6"/>
    <mergeCell ref="F11:F12"/>
    <mergeCell ref="F13:F14"/>
    <mergeCell ref="F15:F16"/>
    <mergeCell ref="F19:F20"/>
    <mergeCell ref="F21:F26"/>
    <mergeCell ref="F27:F37"/>
    <mergeCell ref="G5:G6"/>
    <mergeCell ref="G19:G20"/>
    <mergeCell ref="G21:G26"/>
    <mergeCell ref="G27:G35"/>
    <mergeCell ref="H5:H6"/>
    <mergeCell ref="I5:I6"/>
    <mergeCell ref="I19:I20"/>
    <mergeCell ref="J21:J26"/>
    <mergeCell ref="K21:K26"/>
    <mergeCell ref="L21:L26"/>
    <mergeCell ref="S31:S38"/>
    <mergeCell ref="A3:D4"/>
    <mergeCell ref="A161:D164"/>
    <mergeCell ref="A140:D160"/>
  </mergeCells>
  <dataValidations count="4">
    <dataValidation type="list" allowBlank="1" showInputMessage="1" showErrorMessage="1" sqref="C133">
      <formula1>"球轴承,滚子轴承"</formula1>
    </dataValidation>
    <dataValidation type="list" allowBlank="1" showInputMessage="1" showErrorMessage="1" sqref="C18 C26 C41">
      <formula1>"左侧轴承被压紧,右侧轴承被压紧"</formula1>
    </dataValidation>
    <dataValidation type="list" allowBlank="1" showInputMessage="1" showErrorMessage="1" sqref="C15">
      <formula1>"7000AC,7000B"</formula1>
    </dataValidation>
    <dataValidation type="list" allowBlank="1" showInputMessage="1" showErrorMessage="1" sqref="C77">
      <formula1>"圆锥滚子轴承(3系),角接触球轴承7000C(15°),角接触球轴承7000AC(25°),角接触球轴承7000B(40°)"</formula1>
    </dataValidation>
  </dataValidation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32785" progId="Equations" r:id="rId3">
          <objectPr defaultSize="0" r:id="rId4">
            <anchor moveWithCells="1">
              <from>
                <xdr:col>3</xdr:col>
                <xdr:colOff>304800</xdr:colOff>
                <xdr:row>63</xdr:row>
                <xdr:rowOff>30480</xdr:rowOff>
              </from>
              <to>
                <xdr:col>4</xdr:col>
                <xdr:colOff>0</xdr:colOff>
                <xdr:row>64</xdr:row>
                <xdr:rowOff>175260</xdr:rowOff>
              </to>
            </anchor>
          </objectPr>
        </oleObject>
      </mc:Choice>
      <mc:Fallback>
        <oleObject shapeId="32785" progId="Equations" r:id="rId3"/>
      </mc:Fallback>
    </mc:AlternateContent>
    <mc:AlternateContent xmlns:mc="http://schemas.openxmlformats.org/markup-compatibility/2006">
      <mc:Choice Requires="x14">
        <oleObject shapeId="32787" progId="Equations" r:id="rId5">
          <objectPr defaultSize="0" r:id="rId6">
            <anchor moveWithCells="1">
              <from>
                <xdr:col>3</xdr:col>
                <xdr:colOff>259080</xdr:colOff>
                <xdr:row>65</xdr:row>
                <xdr:rowOff>144145</xdr:rowOff>
              </from>
              <to>
                <xdr:col>4</xdr:col>
                <xdr:colOff>0</xdr:colOff>
                <xdr:row>67</xdr:row>
                <xdr:rowOff>91440</xdr:rowOff>
              </to>
            </anchor>
          </objectPr>
        </oleObject>
      </mc:Choice>
      <mc:Fallback>
        <oleObject shapeId="32787" progId="Equations" r:id="rId5"/>
      </mc:Fallback>
    </mc:AlternateContent>
    <mc:AlternateContent xmlns:mc="http://schemas.openxmlformats.org/markup-compatibility/2006">
      <mc:Choice Requires="x14">
        <oleObject shapeId="32789" progId="Equations" r:id="rId7">
          <objectPr defaultSize="0" r:id="rId4">
            <anchor moveWithCells="1">
              <from>
                <xdr:col>3</xdr:col>
                <xdr:colOff>7620</xdr:colOff>
                <xdr:row>106</xdr:row>
                <xdr:rowOff>30480</xdr:rowOff>
              </from>
              <to>
                <xdr:col>3</xdr:col>
                <xdr:colOff>822960</xdr:colOff>
                <xdr:row>108</xdr:row>
                <xdr:rowOff>0</xdr:rowOff>
              </to>
            </anchor>
          </objectPr>
        </oleObject>
      </mc:Choice>
      <mc:Fallback>
        <oleObject shapeId="32789" progId="Equations" r:id="rId7"/>
      </mc:Fallback>
    </mc:AlternateContent>
    <mc:AlternateContent xmlns:mc="http://schemas.openxmlformats.org/markup-compatibility/2006">
      <mc:Choice Requires="x14">
        <oleObject shapeId="32790" progId="Equations" r:id="rId8">
          <objectPr defaultSize="0" r:id="rId6">
            <anchor moveWithCells="1">
              <from>
                <xdr:col>3</xdr:col>
                <xdr:colOff>7620</xdr:colOff>
                <xdr:row>110</xdr:row>
                <xdr:rowOff>30480</xdr:rowOff>
              </from>
              <to>
                <xdr:col>3</xdr:col>
                <xdr:colOff>876300</xdr:colOff>
                <xdr:row>112</xdr:row>
                <xdr:rowOff>0</xdr:rowOff>
              </to>
            </anchor>
          </objectPr>
        </oleObject>
      </mc:Choice>
      <mc:Fallback>
        <oleObject shapeId="32790" progId="Equations" r:id="rId8"/>
      </mc:Fallback>
    </mc:AlternateContent>
    <mc:AlternateContent xmlns:mc="http://schemas.openxmlformats.org/markup-compatibility/2006">
      <mc:Choice Requires="x14">
        <oleObject shapeId="32797" progId="Equations" r:id="rId9">
          <objectPr defaultSize="0" r:id="rId4">
            <anchor moveWithCells="1">
              <from>
                <xdr:col>3</xdr:col>
                <xdr:colOff>304800</xdr:colOff>
                <xdr:row>91</xdr:row>
                <xdr:rowOff>45720</xdr:rowOff>
              </from>
              <to>
                <xdr:col>4</xdr:col>
                <xdr:colOff>0</xdr:colOff>
                <xdr:row>92</xdr:row>
                <xdr:rowOff>190500</xdr:rowOff>
              </to>
            </anchor>
          </objectPr>
        </oleObject>
      </mc:Choice>
      <mc:Fallback>
        <oleObject shapeId="32797" progId="Equations" r:id="rId9"/>
      </mc:Fallback>
    </mc:AlternateContent>
    <mc:AlternateContent xmlns:mc="http://schemas.openxmlformats.org/markup-compatibility/2006">
      <mc:Choice Requires="x14">
        <oleObject shapeId="32798" progId="Equations" r:id="rId10">
          <objectPr defaultSize="0" r:id="rId6">
            <anchor moveWithCells="1">
              <from>
                <xdr:col>3</xdr:col>
                <xdr:colOff>259080</xdr:colOff>
                <xdr:row>93</xdr:row>
                <xdr:rowOff>144145</xdr:rowOff>
              </from>
              <to>
                <xdr:col>4</xdr:col>
                <xdr:colOff>0</xdr:colOff>
                <xdr:row>95</xdr:row>
                <xdr:rowOff>91440</xdr:rowOff>
              </to>
            </anchor>
          </objectPr>
        </oleObject>
      </mc:Choice>
      <mc:Fallback>
        <oleObject shapeId="32798" progId="Equations" r:id="rId10"/>
      </mc:Fallback>
    </mc:AlternateContent>
    <mc:AlternateContent xmlns:mc="http://schemas.openxmlformats.org/markup-compatibility/2006">
      <mc:Choice Requires="x14">
        <oleObject shapeId="32799" progId="Equations" r:id="rId11">
          <objectPr defaultSize="0" r:id="rId12">
            <anchor moveWithCells="1">
              <from>
                <xdr:col>5</xdr:col>
                <xdr:colOff>22860</xdr:colOff>
                <xdr:row>4</xdr:row>
                <xdr:rowOff>15240</xdr:rowOff>
              </from>
              <to>
                <xdr:col>6</xdr:col>
                <xdr:colOff>0</xdr:colOff>
                <xdr:row>5</xdr:row>
                <xdr:rowOff>190500</xdr:rowOff>
              </to>
            </anchor>
          </objectPr>
        </oleObject>
      </mc:Choice>
      <mc:Fallback>
        <oleObject shapeId="32799" progId="Equations" r:id="rId11"/>
      </mc:Fallback>
    </mc:AlternateContent>
    <mc:AlternateContent xmlns:mc="http://schemas.openxmlformats.org/markup-compatibility/2006">
      <mc:Choice Requires="x14">
        <oleObject shapeId="32819" progId="Equations" r:id="rId13">
          <objectPr defaultSize="0" r:id="rId4">
            <anchor moveWithCells="1">
              <from>
                <xdr:col>3</xdr:col>
                <xdr:colOff>358140</xdr:colOff>
                <xdr:row>132</xdr:row>
                <xdr:rowOff>76200</xdr:rowOff>
              </from>
              <to>
                <xdr:col>4</xdr:col>
                <xdr:colOff>0</xdr:colOff>
                <xdr:row>134</xdr:row>
                <xdr:rowOff>0</xdr:rowOff>
              </to>
            </anchor>
          </objectPr>
        </oleObject>
      </mc:Choice>
      <mc:Fallback>
        <oleObject shapeId="32819" progId="Equations" r:id="rId13"/>
      </mc:Fallback>
    </mc:AlternateContent>
    <mc:AlternateContent xmlns:mc="http://schemas.openxmlformats.org/markup-compatibility/2006">
      <mc:Choice Requires="x14">
        <oleObject shapeId="32820" progId="Equations" r:id="rId14">
          <objectPr defaultSize="0" r:id="rId6">
            <anchor moveWithCells="1">
              <from>
                <xdr:col>3</xdr:col>
                <xdr:colOff>259080</xdr:colOff>
                <xdr:row>134</xdr:row>
                <xdr:rowOff>144145</xdr:rowOff>
              </from>
              <to>
                <xdr:col>4</xdr:col>
                <xdr:colOff>0</xdr:colOff>
                <xdr:row>136</xdr:row>
                <xdr:rowOff>91440</xdr:rowOff>
              </to>
            </anchor>
          </objectPr>
        </oleObject>
      </mc:Choice>
      <mc:Fallback>
        <oleObject shapeId="32820" progId="Equations" r:id="rId14"/>
      </mc:Fallback>
    </mc:AlternateContent>
  </oleObjects>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210"/>
  <sheetViews>
    <sheetView workbookViewId="0">
      <selection activeCell="A202" sqref="A202:D210"/>
    </sheetView>
  </sheetViews>
  <sheetFormatPr defaultColWidth="15.625" defaultRowHeight="20.1" customHeight="1"/>
  <cols>
    <col min="1" max="1" width="13.375" style="81" customWidth="1"/>
    <col min="2" max="2" width="33.25" style="82" customWidth="1"/>
    <col min="3" max="3" width="15.5" style="83" customWidth="1"/>
    <col min="4" max="4" width="22" style="82" customWidth="1"/>
    <col min="5" max="5" width="11" style="82" customWidth="1"/>
    <col min="6" max="6" width="14.375" style="82" customWidth="1"/>
    <col min="7" max="7" width="26.625" style="82" customWidth="1"/>
    <col min="8" max="8" width="13.75" style="82" customWidth="1"/>
    <col min="9" max="9" width="17.5" style="82" customWidth="1"/>
    <col min="10" max="10" width="10" style="82" customWidth="1"/>
    <col min="11" max="11" width="10.375" style="82" customWidth="1"/>
    <col min="12" max="12" width="7.5" style="82" customWidth="1"/>
    <col min="13" max="13" width="7.125" style="82" customWidth="1"/>
    <col min="14" max="15" width="8.5" style="82" customWidth="1"/>
    <col min="16" max="20" width="10.625" style="82" customWidth="1"/>
    <col min="21" max="27" width="8.625" style="82" customWidth="1"/>
    <col min="28" max="16384" width="15.625" style="82"/>
  </cols>
  <sheetData>
    <row r="1" ht="21.95" customHeight="1" spans="1:8">
      <c r="A1" s="124" t="s">
        <v>2221</v>
      </c>
      <c r="B1" s="125"/>
      <c r="C1" s="125"/>
      <c r="D1" s="125"/>
      <c r="F1" s="146"/>
      <c r="G1" s="1"/>
      <c r="H1" s="1"/>
    </row>
    <row r="2" customHeight="1" spans="1:30">
      <c r="A2" s="88" t="s">
        <v>2222</v>
      </c>
      <c r="B2" s="88"/>
      <c r="C2" s="88"/>
      <c r="D2" s="88"/>
      <c r="F2" s="146" t="s">
        <v>2223</v>
      </c>
      <c r="G2" s="1"/>
      <c r="H2" s="1"/>
      <c r="I2" s="1"/>
      <c r="J2" s="106"/>
      <c r="R2" s="114"/>
      <c r="S2" s="114"/>
      <c r="T2" s="114"/>
      <c r="V2" s="115"/>
      <c r="W2" s="115"/>
      <c r="X2" s="115"/>
      <c r="Y2" s="115"/>
      <c r="Z2" s="115"/>
      <c r="AA2" s="115"/>
      <c r="AB2" s="115"/>
      <c r="AC2" s="115"/>
      <c r="AD2" s="115"/>
    </row>
    <row r="3" customHeight="1" spans="1:30">
      <c r="A3" s="89" t="s">
        <v>269</v>
      </c>
      <c r="B3" s="9" t="s">
        <v>270</v>
      </c>
      <c r="C3" s="32" t="s">
        <v>271</v>
      </c>
      <c r="D3" s="9" t="s">
        <v>272</v>
      </c>
      <c r="I3" s="1"/>
      <c r="J3" s="1"/>
      <c r="K3" s="1"/>
      <c r="T3" s="114"/>
      <c r="V3" s="115"/>
      <c r="W3" s="115"/>
      <c r="X3" s="115"/>
      <c r="Y3" s="115"/>
      <c r="Z3" s="115"/>
      <c r="AA3" s="115"/>
      <c r="AB3" s="115"/>
      <c r="AC3" s="115"/>
      <c r="AD3" s="115"/>
    </row>
    <row r="4" customHeight="1" spans="1:30">
      <c r="A4" s="126" t="s">
        <v>2224</v>
      </c>
      <c r="B4" s="9" t="s">
        <v>2225</v>
      </c>
      <c r="C4" s="91">
        <v>2</v>
      </c>
      <c r="D4" s="92"/>
      <c r="I4" s="1"/>
      <c r="J4" s="1"/>
      <c r="K4" s="1"/>
      <c r="T4" s="114"/>
      <c r="W4" s="1"/>
      <c r="X4" s="1"/>
      <c r="Y4" s="1"/>
      <c r="Z4" s="1"/>
      <c r="AA4" s="1"/>
      <c r="AB4" s="1"/>
      <c r="AC4" s="1"/>
      <c r="AD4" s="1"/>
    </row>
    <row r="5" customHeight="1" spans="1:31">
      <c r="A5" s="147"/>
      <c r="B5" s="9" t="s">
        <v>2226</v>
      </c>
      <c r="C5" s="91">
        <v>0.98</v>
      </c>
      <c r="D5" s="92"/>
      <c r="J5" s="1"/>
      <c r="K5" s="1"/>
      <c r="T5" s="114"/>
      <c r="W5" s="114"/>
      <c r="X5" s="114"/>
      <c r="Y5" s="114"/>
      <c r="Z5" s="114"/>
      <c r="AA5" s="114"/>
      <c r="AB5" s="114"/>
      <c r="AC5" s="114"/>
      <c r="AD5" s="114"/>
      <c r="AE5" s="1"/>
    </row>
    <row r="6" customHeight="1" spans="1:31">
      <c r="A6" s="147"/>
      <c r="B6" s="9" t="s">
        <v>2227</v>
      </c>
      <c r="C6" s="94">
        <v>90</v>
      </c>
      <c r="D6" s="9"/>
      <c r="J6" s="1"/>
      <c r="K6" s="1"/>
      <c r="T6" s="114"/>
      <c r="W6" s="114"/>
      <c r="X6" s="114"/>
      <c r="Y6" s="114"/>
      <c r="Z6" s="114"/>
      <c r="AE6" s="114"/>
    </row>
    <row r="7" customHeight="1" spans="1:29">
      <c r="A7" s="147"/>
      <c r="B7" s="9" t="s">
        <v>2228</v>
      </c>
      <c r="C7" s="94">
        <v>1</v>
      </c>
      <c r="D7" s="9"/>
      <c r="J7" s="1"/>
      <c r="K7" s="1"/>
      <c r="U7" s="114"/>
      <c r="V7" s="114"/>
      <c r="W7" s="114"/>
      <c r="X7" s="114"/>
      <c r="Y7" s="114"/>
      <c r="Z7" s="114"/>
      <c r="AA7" s="114"/>
      <c r="AB7" s="114"/>
      <c r="AC7" s="114"/>
    </row>
    <row r="8" customHeight="1" spans="1:30">
      <c r="A8" s="147"/>
      <c r="B8" s="9" t="s">
        <v>2229</v>
      </c>
      <c r="C8" s="94">
        <v>0.2</v>
      </c>
      <c r="D8" s="92"/>
      <c r="J8" s="1"/>
      <c r="K8" s="1"/>
      <c r="M8" s="1"/>
      <c r="V8" s="114"/>
      <c r="W8" s="114"/>
      <c r="X8" s="114"/>
      <c r="Y8" s="114"/>
      <c r="Z8" s="114"/>
      <c r="AA8" s="114"/>
      <c r="AB8" s="114"/>
      <c r="AC8" s="114"/>
      <c r="AD8" s="114"/>
    </row>
    <row r="9" customHeight="1" spans="1:23">
      <c r="A9" s="147"/>
      <c r="B9" s="9" t="s">
        <v>2230</v>
      </c>
      <c r="C9" s="94">
        <v>0.2</v>
      </c>
      <c r="D9" s="9"/>
      <c r="F9" s="82" t="s">
        <v>2231</v>
      </c>
      <c r="K9" s="1"/>
      <c r="L9" s="1"/>
      <c r="M9" s="1"/>
      <c r="U9" s="114"/>
      <c r="V9" s="114"/>
      <c r="W9" s="114"/>
    </row>
    <row r="10" customHeight="1" spans="1:13">
      <c r="A10" s="147"/>
      <c r="B10" s="9" t="s">
        <v>2232</v>
      </c>
      <c r="C10" s="32">
        <f>C6/360*2/(2*C7-C8-C9)*60</f>
        <v>18.75</v>
      </c>
      <c r="D10" s="9"/>
      <c r="L10" s="1"/>
      <c r="M10" s="1"/>
    </row>
    <row r="11" customHeight="1" spans="1:13">
      <c r="A11" s="147"/>
      <c r="B11" s="9" t="s">
        <v>2233</v>
      </c>
      <c r="C11" s="97">
        <f>C10*C4</f>
        <v>37.5</v>
      </c>
      <c r="D11" s="9"/>
      <c r="L11" s="1"/>
      <c r="M11" s="1"/>
    </row>
    <row r="12" customHeight="1" spans="1:27">
      <c r="A12" s="148"/>
      <c r="B12" s="92" t="s">
        <v>2234</v>
      </c>
      <c r="C12" s="104" t="str">
        <f>IF(C11&lt;=1000,ROUND(C11,2)&amp;"≤1000",IF(C11&lt;=3000,"1000＜n0≤3000",IF(C11&lt;=5000,"3000＜n0≤5000",ROUND(C11,2)&amp;"＞3000")))</f>
        <v>37.5≤1000</v>
      </c>
      <c r="D12" s="149" t="str">
        <f>IF(C11&lt;=1000,"可以使用步进/伺服电机",IF(C11&lt;=3000,"可用伺服电机，勿用步进电机",IF(C11&lt;=3000,"慎用伺服电机，禁用步进电机","禁用步进/伺服电机,请减小减速比再试")))</f>
        <v>可以使用步进/伺服电机</v>
      </c>
      <c r="L12" s="1"/>
      <c r="M12" s="1"/>
      <c r="AA12" s="1"/>
    </row>
    <row r="13" customHeight="1" spans="1:27">
      <c r="A13" s="29" t="s">
        <v>2235</v>
      </c>
      <c r="B13" s="9" t="s">
        <v>2236</v>
      </c>
      <c r="C13" s="150">
        <v>0.5</v>
      </c>
      <c r="D13" s="92"/>
      <c r="L13" s="1"/>
      <c r="M13" s="1"/>
      <c r="AA13" s="1"/>
    </row>
    <row r="14" customHeight="1" spans="1:27">
      <c r="A14" s="29"/>
      <c r="B14" s="9" t="s">
        <v>2237</v>
      </c>
      <c r="C14" s="151" t="s">
        <v>2238</v>
      </c>
      <c r="D14" s="9"/>
      <c r="L14" s="1"/>
      <c r="M14" s="1"/>
      <c r="AA14" s="1"/>
    </row>
    <row r="15" customHeight="1" spans="1:27">
      <c r="A15" s="29"/>
      <c r="B15" s="9" t="s">
        <v>2239</v>
      </c>
      <c r="C15" s="152">
        <f>IF(C14="单向",C13*C4,IF(C14="往复",C13/2*C4,"请选择转动方向"))</f>
        <v>1</v>
      </c>
      <c r="D15" s="113" t="str">
        <f>"细分步距角须≤"&amp;ROUND(C15,2)</f>
        <v>细分步距角须≤1</v>
      </c>
      <c r="F15" s="82" t="s">
        <v>2240</v>
      </c>
      <c r="M15" s="1"/>
      <c r="AA15" s="1"/>
    </row>
    <row r="16" customHeight="1" spans="1:27">
      <c r="A16" s="126" t="s">
        <v>2241</v>
      </c>
      <c r="B16" s="9" t="s">
        <v>2242</v>
      </c>
      <c r="C16" s="91">
        <v>11.03</v>
      </c>
      <c r="D16" s="92" t="s">
        <v>2243</v>
      </c>
      <c r="F16" s="106"/>
      <c r="AA16" s="1"/>
    </row>
    <row r="17" customHeight="1" spans="1:27">
      <c r="A17" s="122"/>
      <c r="B17" s="9" t="s">
        <v>2244</v>
      </c>
      <c r="C17" s="91">
        <v>0.2</v>
      </c>
      <c r="D17" s="103" t="s">
        <v>2245</v>
      </c>
      <c r="AA17" s="1"/>
    </row>
    <row r="18" customHeight="1" spans="1:25">
      <c r="A18" s="122"/>
      <c r="B18" s="9" t="s">
        <v>2246</v>
      </c>
      <c r="C18" s="97">
        <f>C17+C16/C4^2/C5</f>
        <v>3.01377551020408</v>
      </c>
      <c r="D18" s="153" t="s">
        <v>2247</v>
      </c>
      <c r="Y18" s="1"/>
    </row>
    <row r="19" customHeight="1" spans="1:25">
      <c r="A19" s="122"/>
      <c r="B19" s="92" t="s">
        <v>2248</v>
      </c>
      <c r="C19" s="91">
        <v>5</v>
      </c>
      <c r="D19" s="154" t="s">
        <v>2249</v>
      </c>
      <c r="Y19" s="1"/>
    </row>
    <row r="20" customHeight="1" spans="1:25">
      <c r="A20" s="122"/>
      <c r="B20" s="9" t="s">
        <v>2250</v>
      </c>
      <c r="C20" s="104">
        <f>C18/C19</f>
        <v>0.602755102040816</v>
      </c>
      <c r="D20" s="155" t="str">
        <f>"转子惯量须≥"&amp;ROUND(C20,2)</f>
        <v>转子惯量须≥0.6</v>
      </c>
      <c r="Y20" s="1"/>
    </row>
    <row r="21" customHeight="1" spans="1:25">
      <c r="A21" s="122"/>
      <c r="B21" s="92" t="s">
        <v>2251</v>
      </c>
      <c r="C21" s="156" t="s">
        <v>2252</v>
      </c>
      <c r="D21" s="155" t="s">
        <v>252</v>
      </c>
      <c r="Y21" s="1"/>
    </row>
    <row r="22" customHeight="1" spans="1:25">
      <c r="A22" s="122"/>
      <c r="B22" s="9" t="s">
        <v>2253</v>
      </c>
      <c r="C22" s="156">
        <v>1.95</v>
      </c>
      <c r="D22" s="155" t="s">
        <v>252</v>
      </c>
      <c r="Y22" s="1"/>
    </row>
    <row r="23" customHeight="1" spans="1:25">
      <c r="A23" s="130"/>
      <c r="B23" s="9" t="s">
        <v>2254</v>
      </c>
      <c r="C23" s="156">
        <v>2.4</v>
      </c>
      <c r="D23" s="155" t="s">
        <v>252</v>
      </c>
      <c r="Y23" s="1"/>
    </row>
    <row r="24" customHeight="1" spans="1:25">
      <c r="A24" s="126" t="s">
        <v>2255</v>
      </c>
      <c r="B24" s="9" t="s">
        <v>2256</v>
      </c>
      <c r="C24" s="97">
        <f>C10/60*2*PI()/C8</f>
        <v>9.8174770424681</v>
      </c>
      <c r="D24" s="9" t="s">
        <v>2257</v>
      </c>
      <c r="Y24" s="1"/>
    </row>
    <row r="25" customHeight="1" spans="1:25">
      <c r="A25" s="122"/>
      <c r="B25" s="9" t="s">
        <v>2258</v>
      </c>
      <c r="C25" s="97">
        <f>C11/60*2*PI()/C8</f>
        <v>19.6349540849362</v>
      </c>
      <c r="D25" s="9" t="s">
        <v>2259</v>
      </c>
      <c r="Y25" s="1"/>
    </row>
    <row r="26" customHeight="1" spans="1:25">
      <c r="A26" s="122"/>
      <c r="B26" s="9" t="s">
        <v>2260</v>
      </c>
      <c r="C26" s="111">
        <v>0</v>
      </c>
      <c r="D26" s="9"/>
      <c r="Y26" s="1"/>
    </row>
    <row r="27" customHeight="1" spans="1:25">
      <c r="A27" s="122"/>
      <c r="B27" s="9" t="s">
        <v>2261</v>
      </c>
      <c r="C27" s="97">
        <v>0</v>
      </c>
      <c r="D27" s="9" t="s">
        <v>2262</v>
      </c>
      <c r="Y27" s="1"/>
    </row>
    <row r="28" customHeight="1" spans="1:24">
      <c r="A28" s="122"/>
      <c r="B28" s="9" t="s">
        <v>2263</v>
      </c>
      <c r="C28" s="97">
        <f>(C18+C22)/10000*C25</f>
        <v>0.00974635042307879</v>
      </c>
      <c r="D28" s="9" t="s">
        <v>2264</v>
      </c>
      <c r="X28" s="1"/>
    </row>
    <row r="29" customHeight="1" spans="1:24">
      <c r="A29" s="122"/>
      <c r="B29" s="9" t="s">
        <v>2265</v>
      </c>
      <c r="C29" s="91">
        <v>1.5</v>
      </c>
      <c r="D29" s="9" t="s">
        <v>2266</v>
      </c>
      <c r="X29" s="1"/>
    </row>
    <row r="30" customHeight="1" spans="1:24">
      <c r="A30" s="122"/>
      <c r="B30" s="9" t="s">
        <v>2267</v>
      </c>
      <c r="C30" s="104">
        <f>C28*C29</f>
        <v>0.0146195256346182</v>
      </c>
      <c r="D30" s="9" t="s">
        <v>2268</v>
      </c>
      <c r="X30" s="1"/>
    </row>
    <row r="31" customHeight="1" spans="1:24">
      <c r="A31" s="130"/>
      <c r="B31" s="92" t="s">
        <v>2269</v>
      </c>
      <c r="C31" s="104" t="str">
        <f>IF(C30&lt;=C20,"计算T≤电机Tm","计算T＞电机Tm")</f>
        <v>计算T≤电机Tm</v>
      </c>
      <c r="D31" s="157" t="str">
        <f>IF(C30&lt;=C20,"校验合格","不合格，请选择转矩更大电机")</f>
        <v>校验合格</v>
      </c>
      <c r="X31" s="1"/>
    </row>
    <row r="32" customHeight="1" spans="1:24">
      <c r="A32" s="126" t="s">
        <v>2270</v>
      </c>
      <c r="B32" s="9" t="s">
        <v>2271</v>
      </c>
      <c r="C32" s="158" t="str">
        <f>IF(C30&lt;=C20,C21,"请检查转矩")</f>
        <v>86YG250A</v>
      </c>
      <c r="D32" s="15"/>
      <c r="X32" s="1"/>
    </row>
    <row r="33" customHeight="1" spans="1:24">
      <c r="A33" s="122"/>
      <c r="B33" s="92" t="s">
        <v>2272</v>
      </c>
      <c r="C33" s="159">
        <v>1.8</v>
      </c>
      <c r="D33" s="9" t="s">
        <v>2273</v>
      </c>
      <c r="X33" s="1"/>
    </row>
    <row r="34" customHeight="1" spans="1:24">
      <c r="A34" s="130"/>
      <c r="B34" s="92" t="s">
        <v>2274</v>
      </c>
      <c r="C34" s="160">
        <v>2</v>
      </c>
      <c r="D34" s="161" t="str">
        <f>IF(C34="不细分",IF(C33&lt;C15,"合格","不合格，需要再细分"),IF(C33/C15&lt;C34,"合格","不合格，需要再细分"))</f>
        <v>合格</v>
      </c>
      <c r="X34" s="1"/>
    </row>
    <row r="35" customHeight="1" spans="1:24">
      <c r="A35" s="88" t="s">
        <v>2275</v>
      </c>
      <c r="B35" s="88"/>
      <c r="C35" s="88"/>
      <c r="D35" s="88"/>
      <c r="X35" s="1"/>
    </row>
    <row r="36" customHeight="1" spans="1:25">
      <c r="A36" s="89" t="s">
        <v>269</v>
      </c>
      <c r="B36" s="9" t="s">
        <v>270</v>
      </c>
      <c r="C36" s="32" t="s">
        <v>271</v>
      </c>
      <c r="D36" s="9" t="s">
        <v>272</v>
      </c>
      <c r="Y36" s="1"/>
    </row>
    <row r="37" customHeight="1" spans="1:29">
      <c r="A37" s="126" t="s">
        <v>2224</v>
      </c>
      <c r="B37" s="9" t="s">
        <v>2276</v>
      </c>
      <c r="C37" s="91">
        <v>5</v>
      </c>
      <c r="D37" s="9"/>
      <c r="AC37" s="1"/>
    </row>
    <row r="38" customHeight="1" spans="1:29">
      <c r="A38" s="147"/>
      <c r="B38" s="9" t="s">
        <v>2277</v>
      </c>
      <c r="C38" s="91">
        <v>0.95</v>
      </c>
      <c r="D38" s="9"/>
      <c r="AC38" s="1"/>
    </row>
    <row r="39" customHeight="1" spans="1:29">
      <c r="A39" s="147"/>
      <c r="B39" s="9" t="s">
        <v>2278</v>
      </c>
      <c r="C39" s="91">
        <v>40</v>
      </c>
      <c r="D39" s="9"/>
      <c r="AC39" s="1"/>
    </row>
    <row r="40" customHeight="1" spans="1:29">
      <c r="A40" s="147"/>
      <c r="B40" s="9" t="s">
        <v>2279</v>
      </c>
      <c r="C40" s="91">
        <v>600</v>
      </c>
      <c r="D40" s="9"/>
      <c r="AC40" s="1"/>
    </row>
    <row r="41" customHeight="1" spans="1:29">
      <c r="A41" s="147"/>
      <c r="B41" s="9" t="s">
        <v>2280</v>
      </c>
      <c r="C41" s="91">
        <v>19</v>
      </c>
      <c r="D41" s="9"/>
      <c r="AC41" s="1"/>
    </row>
    <row r="42" customHeight="1" spans="1:29">
      <c r="A42" s="147"/>
      <c r="B42" s="9" t="s">
        <v>2281</v>
      </c>
      <c r="C42" s="91">
        <v>0.9</v>
      </c>
      <c r="D42" s="9"/>
      <c r="AC42" s="1"/>
    </row>
    <row r="43" customHeight="1" spans="1:29">
      <c r="A43" s="147"/>
      <c r="B43" s="9" t="s">
        <v>2282</v>
      </c>
      <c r="C43" s="94">
        <v>200</v>
      </c>
      <c r="D43" s="9"/>
      <c r="X43" s="1"/>
      <c r="AC43" s="1"/>
    </row>
    <row r="44" customHeight="1" spans="1:29">
      <c r="A44" s="147"/>
      <c r="B44" s="9" t="s">
        <v>2283</v>
      </c>
      <c r="C44" s="94">
        <v>20</v>
      </c>
      <c r="D44" s="9"/>
      <c r="X44" s="1"/>
      <c r="AC44" s="1"/>
    </row>
    <row r="45" customHeight="1" spans="1:29">
      <c r="A45" s="147"/>
      <c r="B45" s="9" t="s">
        <v>2284</v>
      </c>
      <c r="C45" s="94">
        <v>8</v>
      </c>
      <c r="D45" s="9"/>
      <c r="X45" s="1"/>
      <c r="AC45" s="1"/>
    </row>
    <row r="46" customHeight="1" spans="1:29">
      <c r="A46" s="147"/>
      <c r="B46" s="9" t="s">
        <v>2285</v>
      </c>
      <c r="C46" s="94">
        <v>0.2</v>
      </c>
      <c r="D46" s="9"/>
      <c r="AC46" s="1"/>
    </row>
    <row r="47" customHeight="1" spans="1:29">
      <c r="A47" s="147"/>
      <c r="B47" s="9" t="s">
        <v>2286</v>
      </c>
      <c r="C47" s="94">
        <v>0.2</v>
      </c>
      <c r="D47" s="9"/>
      <c r="AC47" s="1"/>
    </row>
    <row r="48" customHeight="1" spans="1:29">
      <c r="A48" s="147"/>
      <c r="B48" s="9" t="s">
        <v>2109</v>
      </c>
      <c r="C48" s="94">
        <v>1</v>
      </c>
      <c r="D48" s="9"/>
      <c r="AC48" s="1"/>
    </row>
    <row r="49" customHeight="1" spans="1:4">
      <c r="A49" s="147"/>
      <c r="B49" s="9" t="s">
        <v>2287</v>
      </c>
      <c r="C49" s="32">
        <f>60/C45</f>
        <v>7.5</v>
      </c>
      <c r="D49" s="9"/>
    </row>
    <row r="50" customHeight="1" spans="1:4">
      <c r="A50" s="147"/>
      <c r="B50" s="9" t="s">
        <v>2288</v>
      </c>
      <c r="C50" s="97">
        <f>2*C43/(C49-2*C48-C46-C47)/1000</f>
        <v>0.0784313725490196</v>
      </c>
      <c r="D50" s="9"/>
    </row>
    <row r="51" customHeight="1" spans="1:4">
      <c r="A51" s="147"/>
      <c r="B51" s="9" t="s">
        <v>2233</v>
      </c>
      <c r="C51" s="97">
        <f>C50*1000/C41*C37*60</f>
        <v>1238.39009287926</v>
      </c>
      <c r="D51" s="9"/>
    </row>
    <row r="52" customHeight="1" spans="1:29">
      <c r="A52" s="148"/>
      <c r="B52" s="92" t="s">
        <v>2234</v>
      </c>
      <c r="C52" s="104" t="str">
        <f>IF(C51&lt;=1000,ROUND(C51,2)&amp;"≤1000",IF(C51&lt;=3000,"1000＜n0≤3000",IF(C51&lt;=5000,"3000＜n0≤5000",ROUND(C51,2)&amp;"＞3000")))</f>
        <v>1000＜n0≤3000</v>
      </c>
      <c r="D52" s="149" t="str">
        <f>IF(C51&lt;=1000,"可以使用步进/伺服电机",IF(C51&lt;=3000,"可用伺服电机，勿用步进电机",IF(C51&lt;=3000,"慎用伺服电机，禁用步进电机","禁用步进/伺服电机,请减小减速比再试")))</f>
        <v>可用伺服电机，勿用步进电机</v>
      </c>
      <c r="AC52" s="1"/>
    </row>
    <row r="53" customHeight="1" spans="1:29">
      <c r="A53" s="162" t="s">
        <v>2289</v>
      </c>
      <c r="B53" s="163" t="s">
        <v>2290</v>
      </c>
      <c r="C53" s="164">
        <v>0.5</v>
      </c>
      <c r="D53" s="165"/>
      <c r="AC53" s="1"/>
    </row>
    <row r="54" customHeight="1" spans="1:29">
      <c r="A54" s="166"/>
      <c r="B54" s="163" t="s">
        <v>2291</v>
      </c>
      <c r="C54" s="167">
        <f>C53/2/C41*360</f>
        <v>4.73684210526316</v>
      </c>
      <c r="D54" s="163" t="str">
        <f>"细分步距角须≤"&amp;ROUND(C54,2)</f>
        <v>细分步距角须≤4.74</v>
      </c>
      <c r="AC54" s="1"/>
    </row>
    <row r="55" customHeight="1" spans="1:29">
      <c r="A55" s="126" t="s">
        <v>2292</v>
      </c>
      <c r="B55" s="168" t="s">
        <v>2293</v>
      </c>
      <c r="C55" s="111">
        <v>5</v>
      </c>
      <c r="D55" s="92"/>
      <c r="AC55" s="1"/>
    </row>
    <row r="56" customHeight="1" spans="1:29">
      <c r="A56" s="122"/>
      <c r="B56" s="168" t="s">
        <v>2294</v>
      </c>
      <c r="C56" s="97">
        <f>C55*(C41/10/(2*PI()))^2/C42</f>
        <v>0.508013156873388</v>
      </c>
      <c r="D56" s="9" t="s">
        <v>2295</v>
      </c>
      <c r="AC56" s="1"/>
    </row>
    <row r="57" customHeight="1" spans="1:29">
      <c r="A57" s="122"/>
      <c r="B57" s="9" t="s">
        <v>2296</v>
      </c>
      <c r="C57" s="97">
        <f>PI()/32*(7900/100^3)*(C40/10)*(C39/10)^4</f>
        <v>11.9129193424125</v>
      </c>
      <c r="D57" s="169" t="s">
        <v>2297</v>
      </c>
      <c r="M57" s="1"/>
      <c r="AC57" s="1"/>
    </row>
    <row r="58" customHeight="1" spans="1:29">
      <c r="A58" s="122"/>
      <c r="B58" s="9" t="s">
        <v>2298</v>
      </c>
      <c r="C58" s="170">
        <v>3</v>
      </c>
      <c r="D58" s="169" t="s">
        <v>2299</v>
      </c>
      <c r="L58" s="1"/>
      <c r="M58" s="1"/>
      <c r="AC58" s="1"/>
    </row>
    <row r="59" customHeight="1" spans="1:29">
      <c r="A59" s="122"/>
      <c r="B59" s="9" t="s">
        <v>2300</v>
      </c>
      <c r="C59" s="171">
        <f>C56+C57+C58</f>
        <v>15.4209324992859</v>
      </c>
      <c r="D59" s="169" t="s">
        <v>2301</v>
      </c>
      <c r="L59" s="1"/>
      <c r="M59" s="1"/>
      <c r="AC59" s="1"/>
    </row>
    <row r="60" customHeight="1" spans="1:29">
      <c r="A60" s="122"/>
      <c r="B60" s="9" t="s">
        <v>2302</v>
      </c>
      <c r="C60" s="170">
        <v>0.5</v>
      </c>
      <c r="D60" s="103" t="s">
        <v>2245</v>
      </c>
      <c r="L60" s="1"/>
      <c r="M60" s="1"/>
      <c r="AC60" s="1"/>
    </row>
    <row r="61" customHeight="1" spans="1:29">
      <c r="A61" s="122"/>
      <c r="B61" s="92" t="s">
        <v>2246</v>
      </c>
      <c r="C61" s="171">
        <f>C59/C37^2/C38+C60</f>
        <v>1.14930242102256</v>
      </c>
      <c r="D61" s="8" t="s">
        <v>2303</v>
      </c>
      <c r="L61" s="1"/>
      <c r="M61" s="1"/>
      <c r="AC61" s="1"/>
    </row>
    <row r="62" customHeight="1" spans="1:29">
      <c r="A62" s="122"/>
      <c r="B62" s="92" t="s">
        <v>2248</v>
      </c>
      <c r="C62" s="91">
        <v>5</v>
      </c>
      <c r="D62" s="172" t="s">
        <v>2304</v>
      </c>
      <c r="L62" s="1"/>
      <c r="M62" s="1"/>
      <c r="AC62" s="1"/>
    </row>
    <row r="63" customHeight="1" spans="1:29">
      <c r="A63" s="122"/>
      <c r="B63" s="9" t="s">
        <v>2250</v>
      </c>
      <c r="C63" s="104">
        <f>C61/C62</f>
        <v>0.229860484204513</v>
      </c>
      <c r="D63" s="155" t="str">
        <f>"转子惯量须≥"&amp;ROUND(C63,2)</f>
        <v>转子惯量须≥0.23</v>
      </c>
      <c r="L63" s="1"/>
      <c r="M63" s="1"/>
      <c r="AC63" s="1"/>
    </row>
    <row r="64" customHeight="1" spans="1:29">
      <c r="A64" s="122"/>
      <c r="B64" s="92" t="s">
        <v>2305</v>
      </c>
      <c r="C64" s="156" t="s">
        <v>2306</v>
      </c>
      <c r="D64" s="155" t="s">
        <v>252</v>
      </c>
      <c r="L64" s="1"/>
      <c r="M64" s="1"/>
      <c r="AC64" s="1"/>
    </row>
    <row r="65" customHeight="1" spans="1:29">
      <c r="A65" s="122"/>
      <c r="B65" s="9" t="s">
        <v>2307</v>
      </c>
      <c r="C65" s="156">
        <v>0.32</v>
      </c>
      <c r="D65" s="155" t="s">
        <v>252</v>
      </c>
      <c r="L65" s="1"/>
      <c r="M65" s="1"/>
      <c r="AC65" s="1"/>
    </row>
    <row r="66" customHeight="1" spans="1:29">
      <c r="A66" s="130"/>
      <c r="B66" s="9" t="s">
        <v>2308</v>
      </c>
      <c r="C66" s="156">
        <v>1.27</v>
      </c>
      <c r="D66" s="155" t="s">
        <v>252</v>
      </c>
      <c r="L66" s="1"/>
      <c r="M66" s="1"/>
      <c r="AC66" s="1"/>
    </row>
    <row r="67" customHeight="1" spans="1:29">
      <c r="A67" s="100" t="s">
        <v>2255</v>
      </c>
      <c r="B67" s="9" t="s">
        <v>2260</v>
      </c>
      <c r="C67" s="105">
        <v>0</v>
      </c>
      <c r="D67" s="155"/>
      <c r="L67" s="1"/>
      <c r="M67" s="1"/>
      <c r="AC67" s="1"/>
    </row>
    <row r="68" customHeight="1" spans="1:29">
      <c r="A68" s="147"/>
      <c r="B68" s="9" t="s">
        <v>2070</v>
      </c>
      <c r="C68" s="97">
        <f>C50/C46</f>
        <v>0.392156862745098</v>
      </c>
      <c r="D68" s="9" t="s">
        <v>2309</v>
      </c>
      <c r="L68" s="1"/>
      <c r="M68" s="1"/>
      <c r="AC68" s="1"/>
    </row>
    <row r="69" customHeight="1" spans="1:29">
      <c r="A69" s="147"/>
      <c r="B69" s="9" t="s">
        <v>2258</v>
      </c>
      <c r="C69" s="97">
        <f>2*PI()*C51/C46/60</f>
        <v>648.419536344643</v>
      </c>
      <c r="D69" s="9" t="s">
        <v>2310</v>
      </c>
      <c r="L69" s="1"/>
      <c r="M69" s="1"/>
      <c r="AC69" s="1"/>
    </row>
    <row r="70" customHeight="1" spans="1:13">
      <c r="A70" s="147"/>
      <c r="B70" s="9" t="s">
        <v>2113</v>
      </c>
      <c r="C70" s="111">
        <v>0.02</v>
      </c>
      <c r="D70" s="9" t="s">
        <v>2311</v>
      </c>
      <c r="L70" s="1"/>
      <c r="M70" s="1"/>
    </row>
    <row r="71" customHeight="1" spans="1:13">
      <c r="A71" s="147"/>
      <c r="B71" s="9" t="s">
        <v>2312</v>
      </c>
      <c r="C71" s="97">
        <f>C67+C55*9.8*(SIN(RADIANS(C44))+C70*COS(RADIANS(C44)))</f>
        <v>17.679885791328</v>
      </c>
      <c r="D71" s="9" t="s">
        <v>2313</v>
      </c>
      <c r="L71" s="1"/>
      <c r="M71" s="1"/>
    </row>
    <row r="72" customHeight="1" spans="1:13">
      <c r="A72" s="147"/>
      <c r="B72" s="9" t="s">
        <v>2261</v>
      </c>
      <c r="C72" s="97">
        <f>C71*C41/2000/(2*PI()*C37*C42*C38)</f>
        <v>0.00625298048220002</v>
      </c>
      <c r="D72" s="9" t="s">
        <v>2314</v>
      </c>
      <c r="L72" s="1"/>
      <c r="M72" s="1"/>
    </row>
    <row r="73" customHeight="1" spans="1:13">
      <c r="A73" s="147"/>
      <c r="B73" s="9" t="s">
        <v>2263</v>
      </c>
      <c r="C73" s="97">
        <f>(C61+C65)/10000*C69</f>
        <v>0.0952724394589511</v>
      </c>
      <c r="D73" s="9" t="s">
        <v>2315</v>
      </c>
      <c r="E73" s="106"/>
      <c r="L73" s="1"/>
      <c r="M73" s="1"/>
    </row>
    <row r="74" customHeight="1" spans="1:12">
      <c r="A74" s="147"/>
      <c r="B74" s="9" t="s">
        <v>2265</v>
      </c>
      <c r="C74" s="91">
        <v>1.2</v>
      </c>
      <c r="D74" s="9" t="s">
        <v>2316</v>
      </c>
      <c r="L74" s="1"/>
    </row>
    <row r="75" customHeight="1" spans="1:4">
      <c r="A75" s="147"/>
      <c r="B75" s="9" t="s">
        <v>2317</v>
      </c>
      <c r="C75" s="104">
        <f>C74*(C72+C73)</f>
        <v>0.121830503929381</v>
      </c>
      <c r="D75" s="9" t="s">
        <v>2268</v>
      </c>
    </row>
    <row r="76" customHeight="1" spans="1:4">
      <c r="A76" s="148"/>
      <c r="B76" s="92" t="s">
        <v>2269</v>
      </c>
      <c r="C76" s="104" t="str">
        <f>IF(C75&lt;=C66,"计算T≤电机Tm","计算T＞电机Tm")</f>
        <v>计算T≤电机Tm</v>
      </c>
      <c r="D76" s="157" t="str">
        <f>IF(C75&lt;=C66,"校验合格","不合格，请选择转矩更大电机")</f>
        <v>校验合格</v>
      </c>
    </row>
    <row r="77" customHeight="1" spans="1:4">
      <c r="A77" s="126" t="s">
        <v>2318</v>
      </c>
      <c r="B77" s="9" t="s">
        <v>2271</v>
      </c>
      <c r="C77" s="158" t="str">
        <f>IF(C75&lt;=C66,C64,"请检查转矩")</f>
        <v>60SG-M01330</v>
      </c>
      <c r="D77" s="15"/>
    </row>
    <row r="78" customHeight="1" spans="1:4">
      <c r="A78" s="122"/>
      <c r="B78" s="163" t="s">
        <v>2272</v>
      </c>
      <c r="C78" s="173">
        <v>1.8</v>
      </c>
      <c r="D78" s="165" t="s">
        <v>2319</v>
      </c>
    </row>
    <row r="79" customHeight="1" spans="1:4">
      <c r="A79" s="130"/>
      <c r="B79" s="163" t="s">
        <v>2320</v>
      </c>
      <c r="C79" s="174" t="s">
        <v>2321</v>
      </c>
      <c r="D79" s="163" t="str">
        <f>IF(C79="不细分",IF(C78&lt;C54,"合格","不合格，需要再细分"),IF(C78/C54&lt;C79,"合格","不合格，需要再细分"))</f>
        <v>合格</v>
      </c>
    </row>
    <row r="80" customHeight="1" spans="1:4">
      <c r="A80" s="88" t="s">
        <v>2322</v>
      </c>
      <c r="B80" s="88"/>
      <c r="C80" s="88"/>
      <c r="D80" s="88"/>
    </row>
    <row r="81" customHeight="1" spans="1:4">
      <c r="A81" s="89" t="s">
        <v>269</v>
      </c>
      <c r="B81" s="9" t="s">
        <v>270</v>
      </c>
      <c r="C81" s="32" t="s">
        <v>271</v>
      </c>
      <c r="D81" s="9" t="s">
        <v>272</v>
      </c>
    </row>
    <row r="82" customHeight="1" spans="1:4">
      <c r="A82" s="126" t="s">
        <v>2224</v>
      </c>
      <c r="B82" s="9" t="s">
        <v>2276</v>
      </c>
      <c r="C82" s="91">
        <v>2</v>
      </c>
      <c r="D82" s="9"/>
    </row>
    <row r="83" customHeight="1" spans="1:4">
      <c r="A83" s="122"/>
      <c r="B83" s="9" t="s">
        <v>2277</v>
      </c>
      <c r="C83" s="91">
        <v>0.8</v>
      </c>
      <c r="D83" s="9"/>
    </row>
    <row r="84" customHeight="1" spans="1:4">
      <c r="A84" s="122"/>
      <c r="B84" s="9" t="s">
        <v>2323</v>
      </c>
      <c r="C84" s="91">
        <v>45</v>
      </c>
      <c r="D84" s="9"/>
    </row>
    <row r="85" customHeight="1" spans="1:4">
      <c r="A85" s="122"/>
      <c r="B85" s="9" t="s">
        <v>2324</v>
      </c>
      <c r="C85" s="91">
        <v>60</v>
      </c>
      <c r="D85" s="9"/>
    </row>
    <row r="86" customHeight="1" spans="1:4">
      <c r="A86" s="122"/>
      <c r="B86" s="9" t="s">
        <v>2325</v>
      </c>
      <c r="C86" s="91">
        <v>0.9</v>
      </c>
      <c r="D86" s="9"/>
    </row>
    <row r="87" customHeight="1" spans="1:4">
      <c r="A87" s="122"/>
      <c r="B87" s="9" t="s">
        <v>2282</v>
      </c>
      <c r="C87" s="94">
        <v>500</v>
      </c>
      <c r="D87" s="9"/>
    </row>
    <row r="88" customHeight="1" spans="1:4">
      <c r="A88" s="122"/>
      <c r="B88" s="9" t="s">
        <v>2326</v>
      </c>
      <c r="C88" s="94">
        <v>20</v>
      </c>
      <c r="D88" s="9"/>
    </row>
    <row r="89" customHeight="1" spans="1:4">
      <c r="A89" s="122"/>
      <c r="B89" s="9" t="s">
        <v>2284</v>
      </c>
      <c r="C89" s="94">
        <v>15</v>
      </c>
      <c r="D89" s="9"/>
    </row>
    <row r="90" customHeight="1" spans="1:4">
      <c r="A90" s="122"/>
      <c r="B90" s="9" t="s">
        <v>2285</v>
      </c>
      <c r="C90" s="94">
        <v>0.2</v>
      </c>
      <c r="D90" s="9"/>
    </row>
    <row r="91" customHeight="1" spans="1:4">
      <c r="A91" s="122"/>
      <c r="B91" s="9" t="s">
        <v>2286</v>
      </c>
      <c r="C91" s="94">
        <v>0.2</v>
      </c>
      <c r="D91" s="9"/>
    </row>
    <row r="92" customHeight="1" spans="1:4">
      <c r="A92" s="122"/>
      <c r="B92" s="9" t="s">
        <v>2109</v>
      </c>
      <c r="C92" s="94">
        <v>1</v>
      </c>
      <c r="D92" s="9"/>
    </row>
    <row r="93" customHeight="1" spans="1:4">
      <c r="A93" s="122"/>
      <c r="B93" s="9" t="s">
        <v>2287</v>
      </c>
      <c r="C93" s="32">
        <f>60/C89</f>
        <v>4</v>
      </c>
      <c r="D93" s="9"/>
    </row>
    <row r="94" customHeight="1" spans="1:10">
      <c r="A94" s="122"/>
      <c r="B94" s="9" t="s">
        <v>2288</v>
      </c>
      <c r="C94" s="32">
        <f>2*C87/(C93-2*C92-C90-C91)/1000</f>
        <v>0.625</v>
      </c>
      <c r="D94" s="9"/>
      <c r="J94" s="82">
        <v>0.05</v>
      </c>
    </row>
    <row r="95" customHeight="1" spans="1:4">
      <c r="A95" s="122"/>
      <c r="B95" s="9" t="s">
        <v>2327</v>
      </c>
      <c r="C95" s="97">
        <f>C94*1000/(PI()*C84)*C82*60</f>
        <v>530.516476972984</v>
      </c>
      <c r="D95" s="9"/>
    </row>
    <row r="96" customHeight="1" spans="1:10">
      <c r="A96" s="130"/>
      <c r="B96" s="92" t="s">
        <v>2234</v>
      </c>
      <c r="C96" s="104" t="str">
        <f>IF(C95&lt;=1000,ROUND(C95,2)&amp;"≤1000",IF(C95&lt;=3000,"1000＜n0≤3000",IF(C95&lt;=5000,"3000＜n0≤5000",ROUND(C95,2)&amp;"＞3000")))</f>
        <v>530.52≤1000</v>
      </c>
      <c r="D96" s="149" t="str">
        <f>IF(C95&lt;=1000,"可以使用步进/伺服电机",IF(C95&lt;=3000,"可用伺服电机，勿用步进电机",IF(C95&lt;=3000,"慎用伺服电机，禁用步进电机","禁用步进/伺服电机,请减小减速比再试")))</f>
        <v>可以使用步进/伺服电机</v>
      </c>
      <c r="J96" s="82" t="s">
        <v>2328</v>
      </c>
    </row>
    <row r="97" customHeight="1" spans="1:4">
      <c r="A97" s="162" t="s">
        <v>2289</v>
      </c>
      <c r="B97" s="9" t="s">
        <v>2329</v>
      </c>
      <c r="C97" s="150">
        <v>0.5</v>
      </c>
      <c r="D97" s="9"/>
    </row>
    <row r="98" customHeight="1" spans="1:4">
      <c r="A98" s="166"/>
      <c r="B98" s="9" t="s">
        <v>2237</v>
      </c>
      <c r="C98" s="151" t="s">
        <v>2330</v>
      </c>
      <c r="D98" s="92" t="s">
        <v>2331</v>
      </c>
    </row>
    <row r="99" customHeight="1" spans="1:4">
      <c r="A99" s="175"/>
      <c r="B99" s="9" t="s">
        <v>2332</v>
      </c>
      <c r="C99" s="104">
        <f>IF(C98="单向",C97/(PI()*C84)*360*C82,IF(C98="往复",C97/2/(PI()*C84)*360*C82,"请选择转动方向"))</f>
        <v>1.27323954473516</v>
      </c>
      <c r="D99" s="113" t="str">
        <f>"细分步距角须≤"&amp;ROUND(C99,2)</f>
        <v>细分步距角须≤1.27</v>
      </c>
    </row>
    <row r="100" customHeight="1" spans="1:11">
      <c r="A100" s="176" t="s">
        <v>2333</v>
      </c>
      <c r="B100" s="9" t="s">
        <v>2260</v>
      </c>
      <c r="C100" s="177">
        <v>0</v>
      </c>
      <c r="D100" s="9" t="s">
        <v>2334</v>
      </c>
      <c r="J100" s="82">
        <v>0.025</v>
      </c>
      <c r="K100" s="82" t="s">
        <v>2335</v>
      </c>
    </row>
    <row r="101" customHeight="1" spans="1:4">
      <c r="A101" s="178"/>
      <c r="B101" s="9" t="s">
        <v>2113</v>
      </c>
      <c r="C101" s="111">
        <v>0.02</v>
      </c>
      <c r="D101" s="9" t="s">
        <v>2311</v>
      </c>
    </row>
    <row r="102" customHeight="1" spans="1:10">
      <c r="A102" s="178"/>
      <c r="B102" s="9" t="s">
        <v>2336</v>
      </c>
      <c r="C102" s="111">
        <v>2</v>
      </c>
      <c r="D102" s="9"/>
      <c r="J102" s="82">
        <f>J100*G98</f>
        <v>0</v>
      </c>
    </row>
    <row r="103" customHeight="1" spans="1:4">
      <c r="A103" s="178"/>
      <c r="B103" s="9" t="s">
        <v>2337</v>
      </c>
      <c r="C103" s="111">
        <v>1</v>
      </c>
      <c r="D103" s="9" t="s">
        <v>2338</v>
      </c>
    </row>
    <row r="104" customHeight="1" spans="1:4">
      <c r="A104" s="178"/>
      <c r="B104" s="9" t="s">
        <v>2339</v>
      </c>
      <c r="C104" s="97">
        <f>C102+C103</f>
        <v>3</v>
      </c>
      <c r="D104" s="9" t="s">
        <v>2340</v>
      </c>
    </row>
    <row r="105" customHeight="1" spans="1:9">
      <c r="A105" s="178"/>
      <c r="B105" s="9" t="s">
        <v>2341</v>
      </c>
      <c r="C105" s="97">
        <f>C94/C90</f>
        <v>3.125</v>
      </c>
      <c r="D105" s="9" t="s">
        <v>2309</v>
      </c>
      <c r="E105" s="179" t="s">
        <v>2342</v>
      </c>
      <c r="F105" s="180" t="s">
        <v>2343</v>
      </c>
      <c r="G105" s="181"/>
      <c r="H105" s="181"/>
      <c r="I105" s="181"/>
    </row>
    <row r="106" customHeight="1" spans="1:9">
      <c r="A106" s="178"/>
      <c r="B106" s="9" t="s">
        <v>2258</v>
      </c>
      <c r="C106" s="97">
        <f>2*PI()*C95/C90/60</f>
        <v>277.777777777778</v>
      </c>
      <c r="D106" s="9" t="s">
        <v>2310</v>
      </c>
      <c r="E106" s="179"/>
      <c r="F106" s="182"/>
      <c r="G106" s="182"/>
      <c r="H106" s="182"/>
      <c r="I106" s="182"/>
    </row>
    <row r="107" customHeight="1" spans="1:9">
      <c r="A107" s="178"/>
      <c r="B107" s="9" t="s">
        <v>2344</v>
      </c>
      <c r="C107" s="97">
        <f>C100+C104*9.8*(SIN(RADIANS(C88))+C101*COS(RADIANS(C88)))</f>
        <v>10.6079314747968</v>
      </c>
      <c r="D107" s="9" t="s">
        <v>2345</v>
      </c>
      <c r="E107" s="179"/>
      <c r="F107" s="100" t="s">
        <v>2346</v>
      </c>
      <c r="G107" s="172" t="s">
        <v>2347</v>
      </c>
      <c r="H107" s="183">
        <f>C107+C108</f>
        <v>19.9829314747968</v>
      </c>
      <c r="I107" s="172" t="s">
        <v>2348</v>
      </c>
    </row>
    <row r="108" customHeight="1" spans="1:9">
      <c r="A108" s="184"/>
      <c r="B108" s="9" t="s">
        <v>2349</v>
      </c>
      <c r="C108" s="171">
        <f>C104*C105</f>
        <v>9.375</v>
      </c>
      <c r="D108" s="9" t="s">
        <v>2350</v>
      </c>
      <c r="E108" s="179"/>
      <c r="F108" s="101"/>
      <c r="G108" s="9" t="s">
        <v>2351</v>
      </c>
      <c r="H108" s="97">
        <f>H107*C84/2000/(C82*C83*C86)</f>
        <v>0.3122333042937</v>
      </c>
      <c r="I108" s="9" t="s">
        <v>2352</v>
      </c>
    </row>
    <row r="109" customHeight="1" spans="1:9">
      <c r="A109" s="100" t="s">
        <v>2353</v>
      </c>
      <c r="B109" s="9" t="s">
        <v>2354</v>
      </c>
      <c r="C109" s="171">
        <f>C104*(C84/10)^2/4/C86</f>
        <v>16.875</v>
      </c>
      <c r="D109" s="9" t="s">
        <v>2355</v>
      </c>
      <c r="E109" s="179"/>
      <c r="F109" s="101"/>
      <c r="G109" s="9" t="s">
        <v>2265</v>
      </c>
      <c r="H109" s="91">
        <v>2</v>
      </c>
      <c r="I109" s="9" t="s">
        <v>2356</v>
      </c>
    </row>
    <row r="110" customHeight="1" spans="1:9">
      <c r="A110" s="101"/>
      <c r="B110" s="9" t="s">
        <v>2357</v>
      </c>
      <c r="C110" s="91">
        <v>5</v>
      </c>
      <c r="D110" s="9" t="s">
        <v>2243</v>
      </c>
      <c r="E110" s="179"/>
      <c r="F110" s="110"/>
      <c r="G110" s="9" t="s">
        <v>2267</v>
      </c>
      <c r="H110" s="104">
        <f>H108*H109</f>
        <v>0.624466608587399</v>
      </c>
      <c r="I110" s="9" t="s">
        <v>2358</v>
      </c>
    </row>
    <row r="111" customHeight="1" spans="1:9">
      <c r="A111" s="101"/>
      <c r="B111" s="9" t="s">
        <v>2359</v>
      </c>
      <c r="C111" s="91">
        <v>8</v>
      </c>
      <c r="D111" s="169" t="s">
        <v>2360</v>
      </c>
      <c r="E111" s="179"/>
      <c r="F111" s="126" t="s">
        <v>2361</v>
      </c>
      <c r="G111" s="9" t="s">
        <v>2250</v>
      </c>
      <c r="H111" s="104">
        <f>C116</f>
        <v>1.7196875</v>
      </c>
      <c r="I111" s="155" t="s">
        <v>2362</v>
      </c>
    </row>
    <row r="112" customHeight="1" spans="1:9">
      <c r="A112" s="101"/>
      <c r="B112" s="9" t="s">
        <v>2363</v>
      </c>
      <c r="C112" s="185">
        <f>C111/((C85/C84)^2*C86)</f>
        <v>5</v>
      </c>
      <c r="D112" s="169" t="s">
        <v>2364</v>
      </c>
      <c r="E112" s="179"/>
      <c r="F112" s="100" t="s">
        <v>2365</v>
      </c>
      <c r="G112" s="9" t="s">
        <v>2271</v>
      </c>
      <c r="H112" s="186" t="s">
        <v>2366</v>
      </c>
      <c r="I112" s="15" t="s">
        <v>2367</v>
      </c>
    </row>
    <row r="113" customHeight="1" spans="1:9">
      <c r="A113" s="101"/>
      <c r="B113" s="9" t="s">
        <v>2368</v>
      </c>
      <c r="C113" s="91">
        <v>0.2</v>
      </c>
      <c r="D113" s="187" t="s">
        <v>2369</v>
      </c>
      <c r="E113" s="179"/>
      <c r="F113" s="101"/>
      <c r="G113" s="9" t="s">
        <v>2272</v>
      </c>
      <c r="H113" s="159">
        <v>1.8</v>
      </c>
      <c r="I113" s="92" t="s">
        <v>297</v>
      </c>
    </row>
    <row r="114" customHeight="1" spans="1:9">
      <c r="A114" s="101"/>
      <c r="B114" s="9" t="s">
        <v>2246</v>
      </c>
      <c r="C114" s="97">
        <f>(C110+C112+C109)/(C82^2*C83)+C113</f>
        <v>8.5984375</v>
      </c>
      <c r="D114" s="9" t="s">
        <v>2370</v>
      </c>
      <c r="F114" s="110"/>
      <c r="G114" s="9" t="s">
        <v>2371</v>
      </c>
      <c r="H114" s="160">
        <v>2</v>
      </c>
      <c r="I114" s="113" t="str">
        <f>IF(H114="不细分",IF(H113&lt;C99,"合格","不合格，需要再细分"),IF(H113/C99&lt;H114,"合格","不合格，需要再细分"))</f>
        <v>合格</v>
      </c>
    </row>
    <row r="115" customHeight="1" spans="1:4">
      <c r="A115" s="101"/>
      <c r="B115" s="9" t="s">
        <v>2248</v>
      </c>
      <c r="C115" s="91">
        <v>5</v>
      </c>
      <c r="D115" s="154" t="s">
        <v>2249</v>
      </c>
    </row>
    <row r="116" customHeight="1" spans="1:5">
      <c r="A116" s="101"/>
      <c r="B116" s="9" t="s">
        <v>2250</v>
      </c>
      <c r="C116" s="104">
        <f>C114/C115</f>
        <v>1.7196875</v>
      </c>
      <c r="D116" s="155" t="str">
        <f>"转子惯量须≥"&amp;ROUND(C116,2)</f>
        <v>转子惯量须≥1.72</v>
      </c>
      <c r="E116" s="129"/>
    </row>
    <row r="117" customHeight="1" spans="1:4">
      <c r="A117" s="101"/>
      <c r="B117" s="92" t="s">
        <v>2251</v>
      </c>
      <c r="C117" s="156" t="s">
        <v>2252</v>
      </c>
      <c r="D117" s="155" t="s">
        <v>252</v>
      </c>
    </row>
    <row r="118" customHeight="1" spans="1:4">
      <c r="A118" s="101"/>
      <c r="B118" s="9" t="s">
        <v>2253</v>
      </c>
      <c r="C118" s="156">
        <v>1.95</v>
      </c>
      <c r="D118" s="155" t="s">
        <v>252</v>
      </c>
    </row>
    <row r="119" customHeight="1" spans="1:4">
      <c r="A119" s="110"/>
      <c r="B119" s="9" t="s">
        <v>2254</v>
      </c>
      <c r="C119" s="156">
        <v>2.4</v>
      </c>
      <c r="D119" s="155" t="s">
        <v>252</v>
      </c>
    </row>
    <row r="120" customHeight="1" spans="1:4">
      <c r="A120" s="122"/>
      <c r="B120" s="9" t="s">
        <v>2261</v>
      </c>
      <c r="C120" s="97">
        <f>C107*C84/2000/(C82*C83*C86)</f>
        <v>0.1657489292937</v>
      </c>
      <c r="D120" s="9" t="s">
        <v>2372</v>
      </c>
    </row>
    <row r="121" customHeight="1" spans="1:4">
      <c r="A121" s="122" t="s">
        <v>2255</v>
      </c>
      <c r="B121" s="9" t="s">
        <v>2263</v>
      </c>
      <c r="C121" s="97">
        <f>(C114+C118)/10000*C106</f>
        <v>0.293012152777778</v>
      </c>
      <c r="D121" s="9" t="s">
        <v>2315</v>
      </c>
    </row>
    <row r="122" customHeight="1" spans="1:4">
      <c r="A122" s="122"/>
      <c r="B122" s="9" t="s">
        <v>2265</v>
      </c>
      <c r="C122" s="91">
        <v>1.2</v>
      </c>
      <c r="D122" s="9" t="s">
        <v>2316</v>
      </c>
    </row>
    <row r="123" customHeight="1" spans="1:4">
      <c r="A123" s="122"/>
      <c r="B123" s="9" t="s">
        <v>2317</v>
      </c>
      <c r="C123" s="104">
        <f>C122*(C120+C121)</f>
        <v>0.550513298485773</v>
      </c>
      <c r="D123" s="9" t="s">
        <v>2268</v>
      </c>
    </row>
    <row r="124" customHeight="1" spans="1:4">
      <c r="A124" s="130"/>
      <c r="B124" s="92" t="s">
        <v>2269</v>
      </c>
      <c r="C124" s="104" t="str">
        <f>IF(C123&lt;=C119,"计算T≤电机Tm","计算T＞电机Tm")</f>
        <v>计算T≤电机Tm</v>
      </c>
      <c r="D124" s="157" t="str">
        <f>IF(C123&lt;=C119,"校验合格","不合格，请选择转矩更大电机")</f>
        <v>校验合格</v>
      </c>
    </row>
    <row r="125" customHeight="1" spans="1:4">
      <c r="A125" s="126" t="s">
        <v>2318</v>
      </c>
      <c r="B125" s="9" t="s">
        <v>2271</v>
      </c>
      <c r="C125" s="158" t="str">
        <f>IF(C123&lt;=C119,C117,"请检查转矩")</f>
        <v>86YG250A</v>
      </c>
      <c r="D125" s="15"/>
    </row>
    <row r="126" customHeight="1" spans="1:4">
      <c r="A126" s="122"/>
      <c r="B126" s="117" t="s">
        <v>2272</v>
      </c>
      <c r="C126" s="159">
        <v>1.8</v>
      </c>
      <c r="D126" s="99" t="s">
        <v>2319</v>
      </c>
    </row>
    <row r="127" customHeight="1" spans="1:4">
      <c r="A127" s="130"/>
      <c r="B127" s="117" t="s">
        <v>2373</v>
      </c>
      <c r="C127" s="188" t="s">
        <v>2321</v>
      </c>
      <c r="D127" s="117" t="str">
        <f>IF(C127="不细分",IF(C126&lt;C104,"合格","不合格，需要再细分"),IF(C126/C104&lt;C127,"合格","不合格，需要再细分"))</f>
        <v>合格</v>
      </c>
    </row>
    <row r="128" customHeight="1" spans="1:4">
      <c r="A128" s="88" t="s">
        <v>2374</v>
      </c>
      <c r="B128" s="88"/>
      <c r="C128" s="88"/>
      <c r="D128" s="88"/>
    </row>
    <row r="129" customHeight="1" spans="1:4">
      <c r="A129" s="89" t="s">
        <v>269</v>
      </c>
      <c r="B129" s="9" t="s">
        <v>270</v>
      </c>
      <c r="C129" s="32" t="s">
        <v>271</v>
      </c>
      <c r="D129" s="9" t="s">
        <v>272</v>
      </c>
    </row>
    <row r="130" customHeight="1" spans="1:4">
      <c r="A130" s="89" t="s">
        <v>2375</v>
      </c>
      <c r="B130" s="92" t="s">
        <v>2376</v>
      </c>
      <c r="C130" s="151" t="s">
        <v>2377</v>
      </c>
      <c r="D130" s="9"/>
    </row>
    <row r="131" customHeight="1" spans="1:4">
      <c r="A131" s="29" t="s">
        <v>2378</v>
      </c>
      <c r="B131" s="9" t="s">
        <v>2379</v>
      </c>
      <c r="C131" s="94">
        <v>500</v>
      </c>
      <c r="D131" s="9"/>
    </row>
    <row r="132" customHeight="1" spans="1:4">
      <c r="A132" s="29"/>
      <c r="B132" s="9" t="s">
        <v>2380</v>
      </c>
      <c r="C132" s="94">
        <v>15</v>
      </c>
      <c r="D132" s="9"/>
    </row>
    <row r="133" customHeight="1" spans="1:9">
      <c r="A133" s="29"/>
      <c r="B133" s="9" t="s">
        <v>2285</v>
      </c>
      <c r="C133" s="94">
        <v>0.2</v>
      </c>
      <c r="D133" s="9"/>
      <c r="F133" s="124"/>
      <c r="G133" s="125"/>
      <c r="H133" s="125"/>
      <c r="I133" s="125"/>
    </row>
    <row r="134" customHeight="1" spans="1:4">
      <c r="A134" s="29"/>
      <c r="B134" s="9" t="s">
        <v>2286</v>
      </c>
      <c r="C134" s="94">
        <v>0.2</v>
      </c>
      <c r="D134" s="9"/>
    </row>
    <row r="135" customHeight="1" spans="1:4">
      <c r="A135" s="29"/>
      <c r="B135" s="9" t="s">
        <v>2109</v>
      </c>
      <c r="C135" s="94">
        <v>1</v>
      </c>
      <c r="D135" s="9"/>
    </row>
    <row r="136" customHeight="1" spans="1:4">
      <c r="A136" s="29"/>
      <c r="B136" s="9" t="s">
        <v>2287</v>
      </c>
      <c r="C136" s="32">
        <f>60/C132</f>
        <v>4</v>
      </c>
      <c r="D136" s="9"/>
    </row>
    <row r="137" customHeight="1" spans="1:4">
      <c r="A137" s="29"/>
      <c r="B137" s="9" t="s">
        <v>2288</v>
      </c>
      <c r="C137" s="97">
        <f>2*C131/(2*(C136-C135)-C133-C134)/1000</f>
        <v>0.178571428571429</v>
      </c>
      <c r="D137" s="9"/>
    </row>
    <row r="138" customHeight="1" spans="1:4">
      <c r="A138" s="29" t="s">
        <v>2381</v>
      </c>
      <c r="B138" s="92" t="s">
        <v>2382</v>
      </c>
      <c r="C138" s="111"/>
      <c r="D138" s="92" t="s">
        <v>2383</v>
      </c>
    </row>
    <row r="139" customHeight="1" spans="1:4">
      <c r="A139" s="126" t="s">
        <v>2224</v>
      </c>
      <c r="B139" s="9" t="s">
        <v>2276</v>
      </c>
      <c r="C139" s="91">
        <v>2</v>
      </c>
      <c r="D139" s="9"/>
    </row>
    <row r="140" customHeight="1" spans="1:4">
      <c r="A140" s="122"/>
      <c r="B140" s="9" t="s">
        <v>2277</v>
      </c>
      <c r="C140" s="91">
        <v>0.7</v>
      </c>
      <c r="D140" s="9"/>
    </row>
    <row r="141" customHeight="1" spans="1:4">
      <c r="A141" s="122"/>
      <c r="B141" s="9" t="s">
        <v>2384</v>
      </c>
      <c r="C141" s="91">
        <v>45</v>
      </c>
      <c r="D141" s="9"/>
    </row>
    <row r="142" customHeight="1" spans="1:4">
      <c r="A142" s="122"/>
      <c r="B142" s="9" t="s">
        <v>2385</v>
      </c>
      <c r="C142" s="91">
        <v>45</v>
      </c>
      <c r="D142" s="9"/>
    </row>
    <row r="143" customHeight="1" spans="1:4">
      <c r="A143" s="122"/>
      <c r="B143" s="9" t="s">
        <v>2386</v>
      </c>
      <c r="C143" s="91">
        <v>0.9</v>
      </c>
      <c r="D143" s="9"/>
    </row>
    <row r="144" customHeight="1" spans="1:4">
      <c r="A144" s="122"/>
      <c r="B144" s="9" t="s">
        <v>2326</v>
      </c>
      <c r="C144" s="94">
        <v>0</v>
      </c>
      <c r="D144" s="9"/>
    </row>
    <row r="145" customHeight="1" spans="1:4">
      <c r="A145" s="122"/>
      <c r="B145" s="9" t="s">
        <v>2327</v>
      </c>
      <c r="C145" s="97">
        <f>IF(C130="间歇输送",C137*1000/(PI()*C141)*C139*60,IF(C130="连续输送",C138*1000/(PI()*C141)*C139*60,"请选择传送工况"))</f>
        <v>151.576136277996</v>
      </c>
      <c r="D145" s="9"/>
    </row>
    <row r="146" customHeight="1" spans="1:4">
      <c r="A146" s="130"/>
      <c r="B146" s="92" t="s">
        <v>2234</v>
      </c>
      <c r="C146" s="104" t="str">
        <f>IF(C145&lt;=1000,ROUND(C145,2)&amp;"≤1000",IF(C145&lt;=3000,"1000＜n0≤3000",IF(C145&lt;=5000,"3000＜n0≤5000",ROUND(C145,2)&amp;"＞3000")))</f>
        <v>151.58≤1000</v>
      </c>
      <c r="D146" s="149" t="str">
        <f>IF(C145&lt;=1000,"可以使用步进/伺服电机",IF(C145&lt;=3000,"可用伺服电机，勿用步进电机",IF(C145&lt;=3000,"慎用伺服电机，禁用步进电机","禁用步进/伺服电机,请减小减速比再试")))</f>
        <v>可以使用步进/伺服电机</v>
      </c>
    </row>
    <row r="147" customHeight="1" spans="1:4">
      <c r="A147" s="189" t="s">
        <v>2289</v>
      </c>
      <c r="B147" s="9" t="s">
        <v>2329</v>
      </c>
      <c r="C147" s="94">
        <v>0.5</v>
      </c>
      <c r="D147" s="9"/>
    </row>
    <row r="148" customHeight="1" spans="1:4">
      <c r="A148" s="189"/>
      <c r="B148" s="9" t="s">
        <v>2332</v>
      </c>
      <c r="C148" s="104">
        <f>C147/(PI()*C141)*360*C139</f>
        <v>2.54647908947033</v>
      </c>
      <c r="D148" s="113" t="str">
        <f>"细分步距角须≤"&amp;ROUND(C148,2)</f>
        <v>细分步距角须≤2.55</v>
      </c>
    </row>
    <row r="149" customHeight="1" spans="1:4">
      <c r="A149" s="176" t="s">
        <v>2333</v>
      </c>
      <c r="B149" s="9" t="s">
        <v>2260</v>
      </c>
      <c r="C149" s="190">
        <v>0</v>
      </c>
      <c r="D149" s="191" t="s">
        <v>2387</v>
      </c>
    </row>
    <row r="150" customHeight="1" spans="1:4">
      <c r="A150" s="178"/>
      <c r="B150" s="9" t="s">
        <v>2388</v>
      </c>
      <c r="C150" s="192" t="s">
        <v>2389</v>
      </c>
      <c r="D150" s="193">
        <f>IF(C150="滚筒支撑",0.05,IF(C150="钢板支撑",0.3))</f>
        <v>0.05</v>
      </c>
    </row>
    <row r="151" customHeight="1" spans="1:4">
      <c r="A151" s="178"/>
      <c r="B151" s="9" t="s">
        <v>2341</v>
      </c>
      <c r="C151" s="97">
        <f>IF(C130="间歇输送",C137/C133,0)</f>
        <v>0.892857142857143</v>
      </c>
      <c r="D151" s="92"/>
    </row>
    <row r="152" customHeight="1" spans="1:4">
      <c r="A152" s="178"/>
      <c r="B152" s="9" t="s">
        <v>2258</v>
      </c>
      <c r="C152" s="97">
        <f>2*PI()*C145/C133/60</f>
        <v>79.3650793650794</v>
      </c>
      <c r="D152" s="9" t="s">
        <v>2310</v>
      </c>
    </row>
    <row r="153" customHeight="1" spans="1:4">
      <c r="A153" s="178"/>
      <c r="B153" s="9" t="s">
        <v>2336</v>
      </c>
      <c r="C153" s="111">
        <v>3</v>
      </c>
      <c r="D153" s="9"/>
    </row>
    <row r="154" customHeight="1" spans="1:4">
      <c r="A154" s="178"/>
      <c r="B154" s="9" t="s">
        <v>2390</v>
      </c>
      <c r="C154" s="111">
        <v>1</v>
      </c>
      <c r="D154" s="9"/>
    </row>
    <row r="155" customHeight="1" spans="1:4">
      <c r="A155" s="178"/>
      <c r="B155" s="9" t="s">
        <v>2391</v>
      </c>
      <c r="C155" s="194">
        <f>C153+C154</f>
        <v>4</v>
      </c>
      <c r="D155" s="9" t="s">
        <v>2392</v>
      </c>
    </row>
    <row r="156" customHeight="1" spans="1:4">
      <c r="A156" s="178"/>
      <c r="B156" s="9" t="s">
        <v>2393</v>
      </c>
      <c r="C156" s="97">
        <f>C155*9.8*(D150*COS(RADIANS(C144))+SIN(RADIANS(C144)))</f>
        <v>1.96</v>
      </c>
      <c r="D156" s="9" t="s">
        <v>2345</v>
      </c>
    </row>
    <row r="157" customHeight="1" spans="1:9">
      <c r="A157" s="184"/>
      <c r="B157" s="9" t="s">
        <v>2349</v>
      </c>
      <c r="C157" s="171">
        <f>C155*C151</f>
        <v>3.57142857142857</v>
      </c>
      <c r="D157" s="9" t="s">
        <v>2350</v>
      </c>
      <c r="E157" s="179" t="s">
        <v>2394</v>
      </c>
      <c r="F157" s="180" t="s">
        <v>2343</v>
      </c>
      <c r="G157" s="181"/>
      <c r="H157" s="181"/>
      <c r="I157" s="181"/>
    </row>
    <row r="158" customHeight="1" spans="1:9">
      <c r="A158" s="176" t="s">
        <v>2353</v>
      </c>
      <c r="B158" s="9" t="s">
        <v>2395</v>
      </c>
      <c r="C158" s="171">
        <f>C155*(C141/10)^2/4/C143</f>
        <v>22.5</v>
      </c>
      <c r="D158" s="9" t="s">
        <v>2355</v>
      </c>
      <c r="E158" s="179"/>
      <c r="F158" s="182"/>
      <c r="G158" s="182"/>
      <c r="H158" s="182"/>
      <c r="I158" s="182"/>
    </row>
    <row r="159" customHeight="1" spans="1:9">
      <c r="A159" s="178"/>
      <c r="B159" s="9" t="s">
        <v>2396</v>
      </c>
      <c r="C159" s="91">
        <v>1</v>
      </c>
      <c r="D159" s="195" t="s">
        <v>2397</v>
      </c>
      <c r="E159" s="179"/>
      <c r="F159" s="100" t="s">
        <v>2346</v>
      </c>
      <c r="G159" s="172" t="s">
        <v>2347</v>
      </c>
      <c r="H159" s="183">
        <f>C156+C157</f>
        <v>5.53142857142857</v>
      </c>
      <c r="I159" s="172" t="s">
        <v>2348</v>
      </c>
    </row>
    <row r="160" customHeight="1" spans="1:9">
      <c r="A160" s="178"/>
      <c r="B160" s="9" t="s">
        <v>2398</v>
      </c>
      <c r="C160" s="91">
        <v>1</v>
      </c>
      <c r="D160" s="196"/>
      <c r="E160" s="179"/>
      <c r="F160" s="101"/>
      <c r="G160" s="9" t="s">
        <v>2351</v>
      </c>
      <c r="H160" s="97">
        <f>H159*C141/2000/(C139*C140*C143)</f>
        <v>0.0987755102040816</v>
      </c>
      <c r="I160" s="9" t="s">
        <v>2352</v>
      </c>
    </row>
    <row r="161" customHeight="1" spans="1:9">
      <c r="A161" s="178"/>
      <c r="B161" s="9" t="s">
        <v>2399</v>
      </c>
      <c r="C161" s="194">
        <f>C160/C143</f>
        <v>1.11111111111111</v>
      </c>
      <c r="D161" s="169" t="s">
        <v>2400</v>
      </c>
      <c r="E161" s="179"/>
      <c r="F161" s="101"/>
      <c r="G161" s="9" t="s">
        <v>2265</v>
      </c>
      <c r="H161" s="91">
        <v>2</v>
      </c>
      <c r="I161" s="92" t="s">
        <v>2401</v>
      </c>
    </row>
    <row r="162" customHeight="1" spans="1:9">
      <c r="A162" s="178"/>
      <c r="B162" s="9" t="s">
        <v>2368</v>
      </c>
      <c r="C162" s="91">
        <v>0.1</v>
      </c>
      <c r="D162" s="103" t="s">
        <v>2245</v>
      </c>
      <c r="E162" s="179"/>
      <c r="F162" s="110"/>
      <c r="G162" s="9" t="s">
        <v>2267</v>
      </c>
      <c r="H162" s="104">
        <f>H160/C139*H161/C140</f>
        <v>0.141107871720117</v>
      </c>
      <c r="I162" s="9" t="s">
        <v>2402</v>
      </c>
    </row>
    <row r="163" customHeight="1" spans="1:9">
      <c r="A163" s="178"/>
      <c r="B163" s="9" t="s">
        <v>2246</v>
      </c>
      <c r="C163" s="97">
        <f>(C158+C159+C161)/(C139^2*C140)+C162</f>
        <v>8.88968253968254</v>
      </c>
      <c r="D163" s="9" t="s">
        <v>2370</v>
      </c>
      <c r="E163" s="179"/>
      <c r="F163" s="126" t="s">
        <v>2361</v>
      </c>
      <c r="G163" s="9" t="s">
        <v>2250</v>
      </c>
      <c r="H163" s="197">
        <f>C165</f>
        <v>1.77793650793651</v>
      </c>
      <c r="I163" s="199" t="s">
        <v>2362</v>
      </c>
    </row>
    <row r="164" customHeight="1" spans="1:9">
      <c r="A164" s="178"/>
      <c r="B164" s="9" t="s">
        <v>2248</v>
      </c>
      <c r="C164" s="91">
        <v>5</v>
      </c>
      <c r="D164" s="154" t="s">
        <v>2249</v>
      </c>
      <c r="E164" s="179"/>
      <c r="F164" s="100" t="s">
        <v>2365</v>
      </c>
      <c r="G164" s="9" t="s">
        <v>2271</v>
      </c>
      <c r="H164" s="186" t="s">
        <v>2403</v>
      </c>
      <c r="I164" s="15" t="s">
        <v>2367</v>
      </c>
    </row>
    <row r="165" customHeight="1" spans="1:9">
      <c r="A165" s="178"/>
      <c r="B165" s="9" t="s">
        <v>2250</v>
      </c>
      <c r="C165" s="104">
        <f>C163/C164</f>
        <v>1.77793650793651</v>
      </c>
      <c r="D165" s="155" t="str">
        <f>"转子惯量须≥"&amp;ROUND(C165,2)</f>
        <v>转子惯量须≥1.78</v>
      </c>
      <c r="E165" s="179"/>
      <c r="F165" s="101"/>
      <c r="G165" s="9" t="s">
        <v>2272</v>
      </c>
      <c r="H165" s="159">
        <v>1.8</v>
      </c>
      <c r="I165" s="92" t="s">
        <v>297</v>
      </c>
    </row>
    <row r="166" customHeight="1" spans="1:9">
      <c r="A166" s="178"/>
      <c r="B166" s="92" t="s">
        <v>2251</v>
      </c>
      <c r="C166" s="156" t="s">
        <v>2404</v>
      </c>
      <c r="D166" s="155" t="s">
        <v>252</v>
      </c>
      <c r="F166" s="110"/>
      <c r="G166" s="9" t="s">
        <v>2371</v>
      </c>
      <c r="H166" s="160" t="s">
        <v>2321</v>
      </c>
      <c r="I166" s="113" t="str">
        <f>IF(H166="不细分",IF(H165&lt;C148,"合格","不合格，需要再细分"),IF(H165/C148&lt;H166,"合格","不合格，需要再细分"))</f>
        <v>合格</v>
      </c>
    </row>
    <row r="167" customHeight="1" spans="1:4">
      <c r="A167" s="178"/>
      <c r="B167" s="9" t="s">
        <v>2253</v>
      </c>
      <c r="C167" s="156">
        <v>2.55</v>
      </c>
      <c r="D167" s="155" t="s">
        <v>252</v>
      </c>
    </row>
    <row r="168" customHeight="1" spans="1:4">
      <c r="A168" s="184"/>
      <c r="B168" s="9" t="s">
        <v>2254</v>
      </c>
      <c r="C168" s="156">
        <v>4</v>
      </c>
      <c r="D168" s="155" t="s">
        <v>252</v>
      </c>
    </row>
    <row r="169" customHeight="1" spans="1:4">
      <c r="A169" s="122"/>
      <c r="B169" s="9" t="s">
        <v>2261</v>
      </c>
      <c r="C169" s="97">
        <f>C156*C141/2000/(C139*C140*C143)</f>
        <v>0.035</v>
      </c>
      <c r="D169" s="9" t="s">
        <v>2372</v>
      </c>
    </row>
    <row r="170" customHeight="1" spans="1:4">
      <c r="A170" s="122" t="s">
        <v>2255</v>
      </c>
      <c r="B170" s="9" t="s">
        <v>2263</v>
      </c>
      <c r="C170" s="97">
        <f>IF(C130="间歇输送",(C163+C167)/10000*C152,0)</f>
        <v>0.0907911312673217</v>
      </c>
      <c r="D170" s="9" t="s">
        <v>2315</v>
      </c>
    </row>
    <row r="171" customHeight="1" spans="1:4">
      <c r="A171" s="122"/>
      <c r="B171" s="9" t="s">
        <v>2265</v>
      </c>
      <c r="C171" s="91">
        <v>1.5</v>
      </c>
      <c r="D171" s="9" t="s">
        <v>2405</v>
      </c>
    </row>
    <row r="172" customHeight="1" spans="1:4">
      <c r="A172" s="122"/>
      <c r="B172" s="9" t="s">
        <v>2317</v>
      </c>
      <c r="C172" s="104">
        <f>C171*(C169+C170)</f>
        <v>0.188686696900983</v>
      </c>
      <c r="D172" s="9" t="s">
        <v>2268</v>
      </c>
    </row>
    <row r="173" customHeight="1" spans="1:4">
      <c r="A173" s="130"/>
      <c r="B173" s="92" t="s">
        <v>2269</v>
      </c>
      <c r="C173" s="104" t="str">
        <f>IF(C172&lt;=C168,"计算T≤电机Tm","计算T＞电机Tm")</f>
        <v>计算T≤电机Tm</v>
      </c>
      <c r="D173" s="157" t="str">
        <f>IF(C172&lt;=C168,"校验合格","不合格，请选择转矩更大电机")</f>
        <v>校验合格</v>
      </c>
    </row>
    <row r="174" customHeight="1" spans="1:4">
      <c r="A174" s="126" t="s">
        <v>2318</v>
      </c>
      <c r="B174" s="9" t="s">
        <v>2271</v>
      </c>
      <c r="C174" s="158" t="str">
        <f>IF(C172&lt;=C168,C166,"请检查转矩")</f>
        <v>86YG250B</v>
      </c>
      <c r="D174" s="15"/>
    </row>
    <row r="175" customHeight="1" spans="1:4">
      <c r="A175" s="122"/>
      <c r="B175" s="117" t="s">
        <v>2272</v>
      </c>
      <c r="C175" s="159">
        <v>1.8</v>
      </c>
      <c r="D175" s="99" t="s">
        <v>2319</v>
      </c>
    </row>
    <row r="176" customHeight="1" spans="1:4">
      <c r="A176" s="130"/>
      <c r="B176" s="117" t="s">
        <v>2373</v>
      </c>
      <c r="C176" s="188" t="s">
        <v>2321</v>
      </c>
      <c r="D176" s="117" t="e">
        <f>IF(C176="不细分",IF(C175&lt;#REF!,"合格","不合格，需要再细分"),IF(C175/#REF!&lt;C176,"合格","不合格，需要再细分"))</f>
        <v>#REF!</v>
      </c>
    </row>
    <row r="177" customHeight="1" spans="1:4">
      <c r="A177" s="198" t="s">
        <v>2406</v>
      </c>
      <c r="B177" s="198"/>
      <c r="C177" s="198"/>
      <c r="D177" s="198"/>
    </row>
    <row r="178" customHeight="1" spans="1:4">
      <c r="A178" s="198"/>
      <c r="B178" s="198"/>
      <c r="C178" s="198"/>
      <c r="D178" s="198"/>
    </row>
    <row r="179" customHeight="1" spans="1:4">
      <c r="A179" s="198"/>
      <c r="B179" s="198"/>
      <c r="C179" s="198"/>
      <c r="D179" s="198"/>
    </row>
    <row r="180" customHeight="1" spans="1:4">
      <c r="A180" s="198"/>
      <c r="B180" s="198"/>
      <c r="C180" s="198"/>
      <c r="D180" s="198"/>
    </row>
    <row r="181" customHeight="1" spans="1:4">
      <c r="A181" s="198"/>
      <c r="B181" s="198"/>
      <c r="C181" s="198"/>
      <c r="D181" s="198"/>
    </row>
    <row r="182" customHeight="1" spans="1:4">
      <c r="A182" s="198"/>
      <c r="B182" s="198"/>
      <c r="C182" s="198"/>
      <c r="D182" s="198"/>
    </row>
    <row r="183" customHeight="1" spans="1:4">
      <c r="A183" s="198"/>
      <c r="B183" s="198"/>
      <c r="C183" s="198"/>
      <c r="D183" s="198"/>
    </row>
    <row r="184" customHeight="1" spans="1:4">
      <c r="A184" s="198"/>
      <c r="B184" s="198"/>
      <c r="C184" s="198"/>
      <c r="D184" s="198"/>
    </row>
    <row r="185" customHeight="1" spans="1:4">
      <c r="A185" s="198"/>
      <c r="B185" s="198"/>
      <c r="C185" s="198"/>
      <c r="D185" s="198"/>
    </row>
    <row r="186" customHeight="1" spans="1:4">
      <c r="A186" s="198"/>
      <c r="B186" s="198"/>
      <c r="C186" s="198"/>
      <c r="D186" s="198"/>
    </row>
    <row r="187" customHeight="1" spans="1:4">
      <c r="A187" s="198"/>
      <c r="B187" s="198"/>
      <c r="C187" s="198"/>
      <c r="D187" s="198"/>
    </row>
    <row r="188" customHeight="1" spans="1:4">
      <c r="A188" s="198"/>
      <c r="B188" s="198"/>
      <c r="C188" s="198"/>
      <c r="D188" s="198"/>
    </row>
    <row r="189" customHeight="1" spans="1:4">
      <c r="A189" s="198"/>
      <c r="B189" s="198"/>
      <c r="C189" s="198"/>
      <c r="D189" s="198"/>
    </row>
    <row r="190" customHeight="1" spans="1:4">
      <c r="A190" s="198"/>
      <c r="B190" s="198"/>
      <c r="C190" s="198"/>
      <c r="D190" s="198"/>
    </row>
    <row r="191" customHeight="1" spans="1:4">
      <c r="A191" s="198"/>
      <c r="B191" s="198"/>
      <c r="C191" s="198"/>
      <c r="D191" s="198"/>
    </row>
    <row r="192" customHeight="1" spans="1:4">
      <c r="A192" s="198"/>
      <c r="B192" s="198"/>
      <c r="C192" s="198"/>
      <c r="D192" s="198"/>
    </row>
    <row r="193" customHeight="1" spans="1:4">
      <c r="A193" s="198"/>
      <c r="B193" s="198"/>
      <c r="C193" s="198"/>
      <c r="D193" s="198"/>
    </row>
    <row r="194" customHeight="1" spans="1:4">
      <c r="A194" s="198"/>
      <c r="B194" s="198"/>
      <c r="C194" s="198"/>
      <c r="D194" s="198"/>
    </row>
    <row r="195" customHeight="1" spans="1:4">
      <c r="A195" s="198"/>
      <c r="B195" s="198"/>
      <c r="C195" s="198"/>
      <c r="D195" s="198"/>
    </row>
    <row r="196" customHeight="1" spans="1:4">
      <c r="A196" s="198"/>
      <c r="B196" s="198"/>
      <c r="C196" s="198"/>
      <c r="D196" s="198"/>
    </row>
    <row r="197" customHeight="1" spans="1:4">
      <c r="A197" s="198"/>
      <c r="B197" s="198"/>
      <c r="C197" s="198"/>
      <c r="D197" s="198"/>
    </row>
    <row r="198" customHeight="1" spans="1:4">
      <c r="A198" s="198"/>
      <c r="B198" s="198"/>
      <c r="C198" s="198"/>
      <c r="D198" s="198"/>
    </row>
    <row r="199" customHeight="1" spans="1:4">
      <c r="A199" s="198"/>
      <c r="B199" s="198"/>
      <c r="C199" s="198"/>
      <c r="D199" s="198"/>
    </row>
    <row r="200" customHeight="1" spans="1:4">
      <c r="A200" s="198"/>
      <c r="B200" s="198"/>
      <c r="C200" s="198"/>
      <c r="D200" s="198"/>
    </row>
    <row r="201" customHeight="1" spans="1:4">
      <c r="A201" s="198"/>
      <c r="B201" s="198"/>
      <c r="C201" s="198"/>
      <c r="D201" s="198"/>
    </row>
    <row r="202" customHeight="1" spans="1:4">
      <c r="A202" s="143" t="s">
        <v>2407</v>
      </c>
      <c r="B202" s="143"/>
      <c r="C202" s="143"/>
      <c r="D202" s="143"/>
    </row>
    <row r="203" customHeight="1" spans="1:4">
      <c r="A203" s="143"/>
      <c r="B203" s="143"/>
      <c r="C203" s="143"/>
      <c r="D203" s="143"/>
    </row>
    <row r="204" customHeight="1" spans="1:4">
      <c r="A204" s="143"/>
      <c r="B204" s="143"/>
      <c r="C204" s="143"/>
      <c r="D204" s="143"/>
    </row>
    <row r="205" customHeight="1" spans="1:4">
      <c r="A205" s="143"/>
      <c r="B205" s="143"/>
      <c r="C205" s="143"/>
      <c r="D205" s="143"/>
    </row>
    <row r="206" customHeight="1" spans="1:4">
      <c r="A206" s="143"/>
      <c r="B206" s="143"/>
      <c r="C206" s="143"/>
      <c r="D206" s="143"/>
    </row>
    <row r="207" customHeight="1" spans="1:4">
      <c r="A207" s="143"/>
      <c r="B207" s="143"/>
      <c r="C207" s="143"/>
      <c r="D207" s="143"/>
    </row>
    <row r="208" customHeight="1" spans="1:4">
      <c r="A208" s="143"/>
      <c r="B208" s="143"/>
      <c r="C208" s="143"/>
      <c r="D208" s="143"/>
    </row>
    <row r="209" customHeight="1" spans="1:4">
      <c r="A209" s="143"/>
      <c r="B209" s="143"/>
      <c r="C209" s="143"/>
      <c r="D209" s="143"/>
    </row>
    <row r="210" customHeight="1" spans="1:4">
      <c r="A210" s="143"/>
      <c r="B210" s="143"/>
      <c r="C210" s="143"/>
      <c r="D210" s="143"/>
    </row>
  </sheetData>
  <customSheetViews>
    <customSheetView guid="{27B96A40-A6B2-43F7-A93C-713F4207CB2A}">
      <selection activeCell="K14" sqref="K14"/>
      <pageMargins left="0.7" right="0.7" top="0.75" bottom="0.75" header="0.3" footer="0.3"/>
      <pageSetup paperSize="9" orientation="portrait"/>
      <headerFooter/>
    </customSheetView>
  </customSheetViews>
  <mergeCells count="36">
    <mergeCell ref="A1:D1"/>
    <mergeCell ref="A2:D2"/>
    <mergeCell ref="A35:D35"/>
    <mergeCell ref="A80:D80"/>
    <mergeCell ref="A128:D128"/>
    <mergeCell ref="A4:A12"/>
    <mergeCell ref="A13:A15"/>
    <mergeCell ref="A16:A23"/>
    <mergeCell ref="A32:A34"/>
    <mergeCell ref="A37:A52"/>
    <mergeCell ref="A53:A54"/>
    <mergeCell ref="A55:A66"/>
    <mergeCell ref="A67:A76"/>
    <mergeCell ref="A77:A79"/>
    <mergeCell ref="A82:A96"/>
    <mergeCell ref="A97:A99"/>
    <mergeCell ref="A100:A108"/>
    <mergeCell ref="A109:A119"/>
    <mergeCell ref="A125:A127"/>
    <mergeCell ref="A131:A137"/>
    <mergeCell ref="A139:A146"/>
    <mergeCell ref="A147:A148"/>
    <mergeCell ref="A149:A157"/>
    <mergeCell ref="A158:A168"/>
    <mergeCell ref="A174:A176"/>
    <mergeCell ref="D159:D160"/>
    <mergeCell ref="E105:E113"/>
    <mergeCell ref="E157:E165"/>
    <mergeCell ref="F107:F110"/>
    <mergeCell ref="F112:F114"/>
    <mergeCell ref="F159:F162"/>
    <mergeCell ref="F164:F166"/>
    <mergeCell ref="A202:D210"/>
    <mergeCell ref="A177:D201"/>
    <mergeCell ref="F105:I106"/>
    <mergeCell ref="F157:I158"/>
  </mergeCells>
  <dataValidations count="4">
    <dataValidation type="list" allowBlank="1" showInputMessage="1" showErrorMessage="1" prompt="请选择" sqref="C14 C98">
      <formula1>"单向,往复"</formula1>
    </dataValidation>
    <dataValidation type="list" allowBlank="1" showInputMessage="1" showErrorMessage="1" prompt="请选择" sqref="C34 C79 H114 C127 H166 C176">
      <formula1>"不细分,2,4,8,16,32"</formula1>
    </dataValidation>
    <dataValidation type="list" allowBlank="1" showInputMessage="1" showErrorMessage="1" prompt="请选择" sqref="C130">
      <formula1>"连续输送,间歇输送"</formula1>
    </dataValidation>
    <dataValidation type="list" allowBlank="1" showInputMessage="1" showErrorMessage="1" sqref="C150">
      <formula1>"滚筒支撑,钢板支撑"</formula1>
    </dataValidation>
  </dataValidations>
  <pageMargins left="0.7" right="0.7" top="0.75" bottom="0.75" header="0.3" footer="0.3"/>
  <pageSetup paperSize="9" orientation="portrait"/>
  <headerFooter/>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163"/>
  <sheetViews>
    <sheetView workbookViewId="0">
      <selection activeCell="A1" sqref="A1:D1"/>
    </sheetView>
  </sheetViews>
  <sheetFormatPr defaultColWidth="15.625" defaultRowHeight="20.1" customHeight="1"/>
  <cols>
    <col min="1" max="1" width="13.375" style="81" customWidth="1"/>
    <col min="2" max="2" width="33.25" style="82" customWidth="1"/>
    <col min="3" max="3" width="15.5" style="83" customWidth="1"/>
    <col min="4" max="4" width="22" style="82" customWidth="1"/>
    <col min="5" max="5" width="5.375" style="82" customWidth="1"/>
    <col min="6" max="6" width="14.375" style="82" customWidth="1"/>
    <col min="7" max="7" width="23.875" style="82" customWidth="1"/>
    <col min="8" max="8" width="13.75" style="82" customWidth="1"/>
    <col min="9" max="9" width="17.5" style="82" customWidth="1"/>
    <col min="10" max="10" width="10" style="82" customWidth="1"/>
    <col min="11" max="11" width="10.375" style="82" customWidth="1"/>
    <col min="12" max="12" width="7.5" style="82" customWidth="1"/>
    <col min="13" max="13" width="7.125" style="82" customWidth="1"/>
    <col min="14" max="15" width="8.5" style="82" customWidth="1"/>
    <col min="16" max="20" width="10.625" style="82" customWidth="1"/>
    <col min="21" max="27" width="8.625" style="82" customWidth="1"/>
    <col min="28" max="16384" width="15.625" style="82"/>
  </cols>
  <sheetData>
    <row r="1" s="80" customFormat="1" ht="21.95" customHeight="1" spans="1:8">
      <c r="A1" s="84" t="s">
        <v>2408</v>
      </c>
      <c r="B1" s="85"/>
      <c r="C1" s="85"/>
      <c r="D1" s="85"/>
      <c r="F1" s="86"/>
      <c r="G1" s="87"/>
      <c r="H1" s="87"/>
    </row>
    <row r="2" customHeight="1" spans="1:30">
      <c r="A2" s="88" t="s">
        <v>2409</v>
      </c>
      <c r="B2" s="88"/>
      <c r="C2" s="88"/>
      <c r="D2" s="88"/>
      <c r="F2" s="82" t="s">
        <v>2410</v>
      </c>
      <c r="I2" s="106" t="s">
        <v>2411</v>
      </c>
      <c r="J2" s="106"/>
      <c r="R2" s="114"/>
      <c r="S2" s="114"/>
      <c r="T2" s="114"/>
      <c r="V2" s="115"/>
      <c r="W2" s="115"/>
      <c r="X2" s="115"/>
      <c r="Y2" s="115"/>
      <c r="Z2" s="115"/>
      <c r="AA2" s="115"/>
      <c r="AB2" s="115"/>
      <c r="AC2" s="115"/>
      <c r="AD2" s="115"/>
    </row>
    <row r="3" customHeight="1" spans="1:30">
      <c r="A3" s="89" t="s">
        <v>269</v>
      </c>
      <c r="B3" s="9" t="s">
        <v>270</v>
      </c>
      <c r="C3" s="32" t="s">
        <v>271</v>
      </c>
      <c r="D3" s="9" t="s">
        <v>272</v>
      </c>
      <c r="J3" s="106"/>
      <c r="T3" s="114"/>
      <c r="V3" s="115"/>
      <c r="W3" s="115"/>
      <c r="X3" s="115"/>
      <c r="Y3" s="115"/>
      <c r="Z3" s="115"/>
      <c r="AA3" s="115"/>
      <c r="AB3" s="115"/>
      <c r="AC3" s="115"/>
      <c r="AD3" s="115"/>
    </row>
    <row r="4" customHeight="1" spans="1:30">
      <c r="A4" s="90" t="s">
        <v>164</v>
      </c>
      <c r="B4" s="9" t="s">
        <v>2412</v>
      </c>
      <c r="C4" s="91">
        <v>3</v>
      </c>
      <c r="D4" s="92"/>
      <c r="J4" s="106"/>
      <c r="T4" s="114"/>
      <c r="W4" s="1"/>
      <c r="X4" s="1"/>
      <c r="Y4" s="1"/>
      <c r="Z4" s="1"/>
      <c r="AA4" s="1"/>
      <c r="AB4" s="1"/>
      <c r="AC4" s="1"/>
      <c r="AD4" s="1"/>
    </row>
    <row r="5" customHeight="1" spans="1:31">
      <c r="A5" s="93"/>
      <c r="B5" s="9" t="s">
        <v>2413</v>
      </c>
      <c r="C5" s="91">
        <v>1.8</v>
      </c>
      <c r="D5" s="92"/>
      <c r="J5" s="106"/>
      <c r="T5" s="114"/>
      <c r="W5" s="114"/>
      <c r="X5" s="114"/>
      <c r="Y5" s="114"/>
      <c r="Z5" s="114"/>
      <c r="AA5" s="114"/>
      <c r="AB5" s="114"/>
      <c r="AC5" s="114"/>
      <c r="AD5" s="114"/>
      <c r="AE5" s="1"/>
    </row>
    <row r="6" customHeight="1" spans="1:31">
      <c r="A6" s="93"/>
      <c r="B6" s="92" t="s">
        <v>2414</v>
      </c>
      <c r="C6" s="94">
        <v>5</v>
      </c>
      <c r="D6" s="9"/>
      <c r="J6" s="106"/>
      <c r="T6" s="114"/>
      <c r="W6" s="114"/>
      <c r="X6" s="114"/>
      <c r="Y6" s="114"/>
      <c r="Z6" s="114"/>
      <c r="AE6" s="114"/>
    </row>
    <row r="7" customHeight="1" spans="1:29">
      <c r="A7" s="95"/>
      <c r="B7" s="9" t="str">
        <f>"选择分割器工位数s(需≥"&amp;C6+1&amp;")(表2)"</f>
        <v>选择分割器工位数s(需≥6)(表2)</v>
      </c>
      <c r="C7" s="96">
        <v>6</v>
      </c>
      <c r="D7" s="9"/>
      <c r="J7" s="106"/>
      <c r="U7" s="114"/>
      <c r="V7" s="114"/>
      <c r="W7" s="114"/>
      <c r="X7" s="114"/>
      <c r="Y7" s="114"/>
      <c r="Z7" s="114"/>
      <c r="AA7" s="114"/>
      <c r="AB7" s="114"/>
      <c r="AC7" s="114"/>
    </row>
    <row r="8" customHeight="1" spans="1:30">
      <c r="A8" s="29" t="s">
        <v>2415</v>
      </c>
      <c r="B8" s="9" t="s">
        <v>2416</v>
      </c>
      <c r="C8" s="97">
        <f>C4-C5</f>
        <v>1.2</v>
      </c>
      <c r="D8" s="92"/>
      <c r="J8" s="106"/>
      <c r="V8" s="114"/>
      <c r="W8" s="114"/>
      <c r="X8" s="114"/>
      <c r="Y8" s="114"/>
      <c r="Z8" s="114"/>
      <c r="AA8" s="114"/>
      <c r="AB8" s="114"/>
      <c r="AC8" s="114"/>
      <c r="AD8" s="114"/>
    </row>
    <row r="9" customHeight="1" spans="1:23">
      <c r="A9" s="29"/>
      <c r="B9" s="9" t="s">
        <v>2417</v>
      </c>
      <c r="C9" s="98">
        <f>(C4-C5)*360/C4</f>
        <v>144</v>
      </c>
      <c r="D9" s="92" t="str">
        <f>"需选择分度角≤"&amp;C9&amp;"°"</f>
        <v>需选择分度角≤144°</v>
      </c>
      <c r="J9" s="106"/>
      <c r="U9" s="114"/>
      <c r="V9" s="114"/>
      <c r="W9" s="114"/>
    </row>
    <row r="10" customHeight="1" spans="1:10">
      <c r="A10" s="29"/>
      <c r="B10" s="9" t="s">
        <v>2418</v>
      </c>
      <c r="C10" s="96">
        <v>120</v>
      </c>
      <c r="D10" s="99" t="s">
        <v>1533</v>
      </c>
      <c r="J10" s="106"/>
    </row>
    <row r="11" customHeight="1" spans="1:10">
      <c r="A11" s="100" t="s">
        <v>2419</v>
      </c>
      <c r="B11" s="9" t="s">
        <v>2420</v>
      </c>
      <c r="C11" s="32">
        <f>60/C4</f>
        <v>20</v>
      </c>
      <c r="D11" s="92"/>
      <c r="J11" s="106"/>
    </row>
    <row r="12" customHeight="1" spans="1:27">
      <c r="A12" s="101"/>
      <c r="B12" s="92" t="s">
        <v>2421</v>
      </c>
      <c r="C12" s="102" t="s">
        <v>2422</v>
      </c>
      <c r="D12" s="103" t="s">
        <v>2423</v>
      </c>
      <c r="J12" s="106"/>
      <c r="AA12" s="1"/>
    </row>
    <row r="13" customHeight="1" spans="1:27">
      <c r="A13" s="101"/>
      <c r="B13" s="9" t="s">
        <v>2424</v>
      </c>
      <c r="C13" s="97">
        <f>IF(C12="修正梯形曲线",4.89,IF(C12="修正正弦曲线",5.53,IF(C12="修正等速曲线",8.01,"请选择凸轮曲线类型")))</f>
        <v>5.53</v>
      </c>
      <c r="D13" s="9" t="s">
        <v>1885</v>
      </c>
      <c r="J13" s="106"/>
      <c r="M13" s="1"/>
      <c r="AA13" s="1"/>
    </row>
    <row r="14" customHeight="1" spans="1:27">
      <c r="A14" s="101"/>
      <c r="B14" s="9" t="s">
        <v>2425</v>
      </c>
      <c r="C14" s="97">
        <f>IF(C12="修正梯形曲线",1.65,IF(C12="修正正弦曲线",0.99,IF(C12="修正等速曲线",0.72,"请选择凸轮曲线类型")))</f>
        <v>0.99</v>
      </c>
      <c r="D14" s="92" t="s">
        <v>297</v>
      </c>
      <c r="J14" s="106"/>
      <c r="L14" s="1"/>
      <c r="M14" s="1"/>
      <c r="AA14" s="1"/>
    </row>
    <row r="15" customHeight="1" spans="1:27">
      <c r="A15" s="101"/>
      <c r="B15" s="9" t="s">
        <v>2426</v>
      </c>
      <c r="C15" s="104">
        <f>72*PI()*C13/C7*(C11/C10)^2</f>
        <v>5.79100245811718</v>
      </c>
      <c r="D15" s="9" t="s">
        <v>2427</v>
      </c>
      <c r="J15" s="106"/>
      <c r="L15" s="1"/>
      <c r="M15" s="1"/>
      <c r="AA15" s="1"/>
    </row>
    <row r="16" customHeight="1" spans="1:27">
      <c r="A16" s="101"/>
      <c r="B16" s="9" t="s">
        <v>2428</v>
      </c>
      <c r="C16" s="105">
        <v>4</v>
      </c>
      <c r="D16" s="9" t="s">
        <v>2243</v>
      </c>
      <c r="J16" s="1"/>
      <c r="K16" s="1"/>
      <c r="L16" s="1"/>
      <c r="M16" s="1"/>
      <c r="AA16" s="1"/>
    </row>
    <row r="17" customHeight="1" spans="1:27">
      <c r="A17" s="101"/>
      <c r="B17" s="9" t="s">
        <v>2429</v>
      </c>
      <c r="C17" s="97">
        <f>C16*C15</f>
        <v>23.1640098324687</v>
      </c>
      <c r="D17" s="9" t="s">
        <v>2430</v>
      </c>
      <c r="F17" s="106" t="s">
        <v>2431</v>
      </c>
      <c r="J17" s="1"/>
      <c r="K17" s="1"/>
      <c r="AA17" s="1"/>
    </row>
    <row r="18" customHeight="1" spans="1:25">
      <c r="A18" s="101"/>
      <c r="B18" s="9" t="s">
        <v>2432</v>
      </c>
      <c r="C18" s="107">
        <v>1.5</v>
      </c>
      <c r="D18" s="9" t="s">
        <v>2433</v>
      </c>
      <c r="F18" s="106"/>
      <c r="K18" s="1"/>
      <c r="Y18" s="1"/>
    </row>
    <row r="19" customHeight="1" spans="1:25">
      <c r="A19" s="101"/>
      <c r="B19" s="9" t="s">
        <v>2434</v>
      </c>
      <c r="C19" s="97">
        <f>C18*C17</f>
        <v>34.7460147487031</v>
      </c>
      <c r="D19" s="9" t="str">
        <f>ROUND(C19/9.8,2)&amp;" kgf.m"</f>
        <v>3.55 kgf.m</v>
      </c>
      <c r="Y19" s="1"/>
    </row>
    <row r="20" customHeight="1" spans="1:25">
      <c r="A20" s="101"/>
      <c r="B20" s="92" t="s">
        <v>2435</v>
      </c>
      <c r="C20" s="108" t="s">
        <v>2436</v>
      </c>
      <c r="D20" s="9" t="s">
        <v>302</v>
      </c>
      <c r="Y20" s="1"/>
    </row>
    <row r="21" customHeight="1" spans="1:25">
      <c r="A21" s="101"/>
      <c r="B21" s="92" t="s">
        <v>2437</v>
      </c>
      <c r="C21" s="109">
        <f>5.77*9.8</f>
        <v>56.546</v>
      </c>
      <c r="D21" s="9" t="s">
        <v>302</v>
      </c>
      <c r="Y21" s="1"/>
    </row>
    <row r="22" customHeight="1" spans="1:25">
      <c r="A22" s="101"/>
      <c r="B22" s="9" t="s">
        <v>2438</v>
      </c>
      <c r="C22" s="97">
        <f>C14*C19*360/C7/C10</f>
        <v>17.199277300608</v>
      </c>
      <c r="D22" s="9" t="s">
        <v>2439</v>
      </c>
      <c r="Y22" s="1"/>
    </row>
    <row r="23" customHeight="1" spans="1:25">
      <c r="A23" s="110"/>
      <c r="B23" s="92" t="s">
        <v>2271</v>
      </c>
      <c r="C23" s="111"/>
      <c r="D23" s="9"/>
      <c r="Y23" s="1"/>
    </row>
    <row r="24" customHeight="1" spans="1:25">
      <c r="A24" s="88" t="s">
        <v>2440</v>
      </c>
      <c r="B24" s="88"/>
      <c r="C24" s="88"/>
      <c r="D24" s="88"/>
      <c r="Y24" s="1"/>
    </row>
    <row r="25" customHeight="1" spans="1:25">
      <c r="A25" s="89" t="s">
        <v>269</v>
      </c>
      <c r="B25" s="9" t="s">
        <v>270</v>
      </c>
      <c r="C25" s="32" t="s">
        <v>271</v>
      </c>
      <c r="D25" s="9" t="s">
        <v>272</v>
      </c>
      <c r="F25" s="82" t="s">
        <v>2441</v>
      </c>
      <c r="Y25" s="1"/>
    </row>
    <row r="26" customHeight="1" spans="1:25">
      <c r="A26" s="90" t="s">
        <v>164</v>
      </c>
      <c r="B26" s="9" t="s">
        <v>2412</v>
      </c>
      <c r="C26" s="91">
        <v>3</v>
      </c>
      <c r="D26" s="92"/>
      <c r="Y26" s="1"/>
    </row>
    <row r="27" customHeight="1" spans="1:25">
      <c r="A27" s="93"/>
      <c r="B27" s="9" t="s">
        <v>2413</v>
      </c>
      <c r="C27" s="91">
        <v>1.8</v>
      </c>
      <c r="D27" s="92"/>
      <c r="Y27" s="1"/>
    </row>
    <row r="28" customHeight="1" spans="1:24">
      <c r="A28" s="93"/>
      <c r="B28" s="92" t="s">
        <v>2442</v>
      </c>
      <c r="C28" s="94">
        <v>24</v>
      </c>
      <c r="D28" s="9"/>
      <c r="X28" s="1"/>
    </row>
    <row r="29" customHeight="1" spans="1:24">
      <c r="A29" s="93"/>
      <c r="B29" s="9" t="s">
        <v>2443</v>
      </c>
      <c r="C29" s="94">
        <v>4</v>
      </c>
      <c r="D29" s="9"/>
      <c r="X29" s="1"/>
    </row>
    <row r="30" customHeight="1" spans="1:24">
      <c r="A30" s="93"/>
      <c r="B30" s="9" t="s">
        <v>2444</v>
      </c>
      <c r="C30" s="32">
        <f>C28/C29</f>
        <v>6</v>
      </c>
      <c r="D30" s="9"/>
      <c r="X30" s="1"/>
    </row>
    <row r="31" customHeight="1" spans="1:24">
      <c r="A31" s="93"/>
      <c r="B31" s="9" t="str">
        <f>"选择分割器工位数s(需≥s0)(表2)"</f>
        <v>选择分割器工位数s(需≥s0)(表2)</v>
      </c>
      <c r="C31" s="96">
        <v>6</v>
      </c>
      <c r="D31" s="9"/>
      <c r="X31" s="1"/>
    </row>
    <row r="32" customHeight="1" spans="1:24">
      <c r="A32" s="95"/>
      <c r="B32" s="92" t="s">
        <v>2445</v>
      </c>
      <c r="C32" s="32">
        <f>C31*C29</f>
        <v>24</v>
      </c>
      <c r="D32" s="9"/>
      <c r="X32" s="1"/>
    </row>
    <row r="33" customHeight="1" spans="1:24">
      <c r="A33" s="29" t="s">
        <v>2415</v>
      </c>
      <c r="B33" s="9" t="s">
        <v>2416</v>
      </c>
      <c r="C33" s="97">
        <f>C26-C27</f>
        <v>1.2</v>
      </c>
      <c r="D33" s="92"/>
      <c r="X33" s="1"/>
    </row>
    <row r="34" customHeight="1" spans="1:24">
      <c r="A34" s="29"/>
      <c r="B34" s="9" t="s">
        <v>2417</v>
      </c>
      <c r="C34" s="98">
        <f>(C26-C27)*360/C26</f>
        <v>144</v>
      </c>
      <c r="D34" s="92" t="str">
        <f>"需选择分度角≤"&amp;C34&amp;"°"</f>
        <v>需选择分度角≤144°</v>
      </c>
      <c r="X34" s="1"/>
    </row>
    <row r="35" customHeight="1" spans="1:24">
      <c r="A35" s="29"/>
      <c r="B35" s="9" t="s">
        <v>2418</v>
      </c>
      <c r="C35" s="96">
        <v>120</v>
      </c>
      <c r="D35" s="99" t="s">
        <v>1533</v>
      </c>
      <c r="X35" s="1"/>
    </row>
    <row r="36" customHeight="1" spans="1:25">
      <c r="A36" s="100" t="s">
        <v>2419</v>
      </c>
      <c r="B36" s="9" t="s">
        <v>2420</v>
      </c>
      <c r="C36" s="32">
        <f>60/C26</f>
        <v>20</v>
      </c>
      <c r="D36" s="92"/>
      <c r="Y36" s="1"/>
    </row>
    <row r="37" customHeight="1" spans="1:29">
      <c r="A37" s="101"/>
      <c r="B37" s="92" t="s">
        <v>2421</v>
      </c>
      <c r="C37" s="102" t="s">
        <v>2422</v>
      </c>
      <c r="D37" s="103" t="s">
        <v>2423</v>
      </c>
      <c r="AC37" s="1"/>
    </row>
    <row r="38" customHeight="1" spans="1:29">
      <c r="A38" s="101"/>
      <c r="B38" s="9" t="s">
        <v>2424</v>
      </c>
      <c r="C38" s="97">
        <f>IF(C37="修正梯形曲线",4.89,IF(C37="修正正弦曲线",5.53,IF(C37="修正等速曲线",8.01,"请选择凸轮曲线类型")))</f>
        <v>5.53</v>
      </c>
      <c r="D38" s="9" t="s">
        <v>1885</v>
      </c>
      <c r="AC38" s="1"/>
    </row>
    <row r="39" customHeight="1" spans="1:29">
      <c r="A39" s="101"/>
      <c r="B39" s="9" t="s">
        <v>2425</v>
      </c>
      <c r="C39" s="97">
        <f>IF(C37="修正梯形曲线",1.65,IF(C37="修正正弦曲线",0.99,IF(C37="修正等速曲线",0.72,"请选择凸轮曲线类型")))</f>
        <v>0.99</v>
      </c>
      <c r="D39" s="92" t="s">
        <v>297</v>
      </c>
      <c r="AC39" s="1"/>
    </row>
    <row r="40" customHeight="1" spans="1:29">
      <c r="A40" s="101"/>
      <c r="B40" s="9" t="s">
        <v>2426</v>
      </c>
      <c r="C40" s="104">
        <f>72*PI()*C38/C31*(C36/C35)^2</f>
        <v>5.79100245811718</v>
      </c>
      <c r="D40" s="9" t="s">
        <v>2427</v>
      </c>
      <c r="AC40" s="1"/>
    </row>
    <row r="41" customHeight="1" spans="1:29">
      <c r="A41" s="101"/>
      <c r="B41" s="9" t="s">
        <v>2446</v>
      </c>
      <c r="C41" s="105">
        <v>0.4</v>
      </c>
      <c r="D41" s="9" t="s">
        <v>2447</v>
      </c>
      <c r="AC41" s="1"/>
    </row>
    <row r="42" customHeight="1" spans="1:29">
      <c r="A42" s="101"/>
      <c r="B42" s="9" t="s">
        <v>2448</v>
      </c>
      <c r="C42" s="105">
        <v>0.0002</v>
      </c>
      <c r="D42" s="9" t="s">
        <v>2449</v>
      </c>
      <c r="AC42" s="1"/>
    </row>
    <row r="43" customHeight="1" spans="1:29">
      <c r="A43" s="101"/>
      <c r="B43" s="9" t="s">
        <v>2450</v>
      </c>
      <c r="C43" s="98">
        <f>C42+C41/C29^2</f>
        <v>0.0252</v>
      </c>
      <c r="D43" s="9" t="s">
        <v>2451</v>
      </c>
      <c r="X43" s="1"/>
      <c r="AC43" s="1"/>
    </row>
    <row r="44" customHeight="1" spans="1:29">
      <c r="A44" s="101"/>
      <c r="B44" s="9" t="s">
        <v>2429</v>
      </c>
      <c r="C44" s="97">
        <f>C43*C40</f>
        <v>0.145933261944553</v>
      </c>
      <c r="D44" s="9" t="s">
        <v>2430</v>
      </c>
      <c r="X44" s="1"/>
      <c r="AC44" s="1"/>
    </row>
    <row r="45" customHeight="1" spans="1:29">
      <c r="A45" s="101"/>
      <c r="B45" s="9" t="s">
        <v>2432</v>
      </c>
      <c r="C45" s="105">
        <v>1.5</v>
      </c>
      <c r="D45" s="9" t="s">
        <v>2433</v>
      </c>
      <c r="X45" s="1"/>
      <c r="AC45" s="1"/>
    </row>
    <row r="46" customHeight="1" spans="1:29">
      <c r="A46" s="101"/>
      <c r="B46" s="9" t="s">
        <v>2434</v>
      </c>
      <c r="C46" s="112">
        <f>C45*C44</f>
        <v>0.21889989291683</v>
      </c>
      <c r="D46" s="9" t="str">
        <f>ROUND(C46/9.8,4)&amp;" kgf.m"</f>
        <v>0.0223 kgf.m</v>
      </c>
      <c r="AC46" s="1"/>
    </row>
    <row r="47" customHeight="1" spans="1:29">
      <c r="A47" s="101"/>
      <c r="B47" s="92" t="s">
        <v>2435</v>
      </c>
      <c r="C47" s="108"/>
      <c r="D47" s="9" t="s">
        <v>302</v>
      </c>
      <c r="F47" s="82" t="s">
        <v>2452</v>
      </c>
      <c r="AC47" s="1"/>
    </row>
    <row r="48" customHeight="1" spans="1:29">
      <c r="A48" s="101"/>
      <c r="B48" s="92" t="s">
        <v>2437</v>
      </c>
      <c r="C48" s="109"/>
      <c r="D48" s="9" t="s">
        <v>302</v>
      </c>
      <c r="AC48" s="1"/>
    </row>
    <row r="49" customHeight="1" spans="1:4">
      <c r="A49" s="101"/>
      <c r="B49" s="9" t="s">
        <v>2438</v>
      </c>
      <c r="C49" s="97">
        <f>C39*C46*360/C32/C35</f>
        <v>0.0270888617484577</v>
      </c>
      <c r="D49" s="9" t="s">
        <v>2439</v>
      </c>
    </row>
    <row r="50" customHeight="1" spans="1:4">
      <c r="A50" s="110"/>
      <c r="B50" s="92" t="s">
        <v>2271</v>
      </c>
      <c r="C50" s="111"/>
      <c r="D50" s="9"/>
    </row>
    <row r="51" customHeight="1" spans="1:12">
      <c r="A51" s="88" t="s">
        <v>2453</v>
      </c>
      <c r="B51" s="88"/>
      <c r="C51" s="88"/>
      <c r="D51" s="88"/>
      <c r="L51" s="1"/>
    </row>
    <row r="52" customHeight="1" spans="1:29">
      <c r="A52" s="89" t="s">
        <v>269</v>
      </c>
      <c r="B52" s="9" t="s">
        <v>270</v>
      </c>
      <c r="C52" s="32" t="s">
        <v>271</v>
      </c>
      <c r="D52" s="9" t="s">
        <v>272</v>
      </c>
      <c r="L52" s="1"/>
      <c r="AC52" s="1"/>
    </row>
    <row r="53" customHeight="1" spans="1:29">
      <c r="A53" s="90" t="s">
        <v>164</v>
      </c>
      <c r="B53" s="9" t="s">
        <v>2454</v>
      </c>
      <c r="C53" s="94">
        <f>8*1</f>
        <v>8</v>
      </c>
      <c r="D53" s="9"/>
      <c r="L53" s="1"/>
      <c r="AC53" s="1"/>
    </row>
    <row r="54" customHeight="1" spans="1:29">
      <c r="A54" s="93"/>
      <c r="B54" s="9" t="s">
        <v>2455</v>
      </c>
      <c r="C54" s="94">
        <f>2*8+20*3</f>
        <v>76</v>
      </c>
      <c r="D54" s="9"/>
      <c r="L54" s="1"/>
      <c r="AC54" s="1"/>
    </row>
    <row r="55" customHeight="1" spans="1:29">
      <c r="A55" s="93"/>
      <c r="B55" s="9" t="s">
        <v>2105</v>
      </c>
      <c r="C55" s="32">
        <f>C53+C54</f>
        <v>84</v>
      </c>
      <c r="D55" s="9"/>
      <c r="L55" s="1"/>
      <c r="AC55" s="1"/>
    </row>
    <row r="56" customHeight="1" spans="1:29">
      <c r="A56" s="93"/>
      <c r="B56" s="9" t="s">
        <v>2456</v>
      </c>
      <c r="C56" s="94">
        <v>0.02</v>
      </c>
      <c r="D56" s="9"/>
      <c r="L56" s="1"/>
      <c r="AC56" s="1"/>
    </row>
    <row r="57" customHeight="1" spans="1:29">
      <c r="A57" s="93"/>
      <c r="B57" s="9" t="s">
        <v>2457</v>
      </c>
      <c r="C57" s="94">
        <v>0</v>
      </c>
      <c r="D57" s="9"/>
      <c r="L57" s="1"/>
      <c r="AC57" s="1"/>
    </row>
    <row r="58" customHeight="1" spans="1:29">
      <c r="A58" s="93"/>
      <c r="B58" s="9" t="s">
        <v>2412</v>
      </c>
      <c r="C58" s="91">
        <v>1.5</v>
      </c>
      <c r="D58" s="92"/>
      <c r="L58" s="1"/>
      <c r="M58" s="1"/>
      <c r="AC58" s="1"/>
    </row>
    <row r="59" customHeight="1" spans="1:29">
      <c r="A59" s="93"/>
      <c r="B59" s="9" t="s">
        <v>2413</v>
      </c>
      <c r="C59" s="91">
        <v>1</v>
      </c>
      <c r="D59" s="92"/>
      <c r="L59" s="1"/>
      <c r="M59" s="1"/>
      <c r="AC59" s="1"/>
    </row>
    <row r="60" customHeight="1" spans="1:29">
      <c r="A60" s="93"/>
      <c r="B60" s="92" t="s">
        <v>2442</v>
      </c>
      <c r="C60" s="94">
        <v>20</v>
      </c>
      <c r="D60" s="9"/>
      <c r="L60" s="1"/>
      <c r="M60" s="1"/>
      <c r="AC60" s="1"/>
    </row>
    <row r="61" customHeight="1" spans="1:29">
      <c r="A61" s="93"/>
      <c r="B61" s="9" t="s">
        <v>2458</v>
      </c>
      <c r="C61" s="94">
        <f>100/200</f>
        <v>0.5</v>
      </c>
      <c r="D61" s="9"/>
      <c r="L61" s="1"/>
      <c r="M61" s="1"/>
      <c r="AC61" s="1"/>
    </row>
    <row r="62" customHeight="1" spans="1:29">
      <c r="A62" s="93"/>
      <c r="B62" s="9" t="s">
        <v>2459</v>
      </c>
      <c r="C62" s="94">
        <v>0.95</v>
      </c>
      <c r="D62" s="9"/>
      <c r="L62" s="1"/>
      <c r="M62" s="1"/>
      <c r="AC62" s="1"/>
    </row>
    <row r="63" customHeight="1" spans="1:29">
      <c r="A63" s="93"/>
      <c r="B63" s="9" t="s">
        <v>2460</v>
      </c>
      <c r="C63" s="94">
        <v>254</v>
      </c>
      <c r="D63" s="113" t="s">
        <v>2461</v>
      </c>
      <c r="L63" s="1"/>
      <c r="M63" s="1"/>
      <c r="AC63" s="1"/>
    </row>
    <row r="64" customHeight="1" spans="1:29">
      <c r="A64" s="93"/>
      <c r="B64" s="9" t="s">
        <v>2462</v>
      </c>
      <c r="C64" s="94">
        <v>266</v>
      </c>
      <c r="D64" s="9"/>
      <c r="L64" s="1"/>
      <c r="M64" s="1"/>
      <c r="AC64" s="1"/>
    </row>
    <row r="65" customHeight="1" spans="1:29">
      <c r="A65" s="93"/>
      <c r="B65" s="9" t="s">
        <v>2463</v>
      </c>
      <c r="C65" s="94">
        <v>0.9</v>
      </c>
      <c r="D65" s="9"/>
      <c r="L65" s="1"/>
      <c r="M65" s="1"/>
      <c r="AC65" s="1"/>
    </row>
    <row r="66" customHeight="1" spans="1:29">
      <c r="A66" s="93"/>
      <c r="B66" s="9" t="s">
        <v>2464</v>
      </c>
      <c r="C66" s="32">
        <f>C63*PI()/C64/C61</f>
        <v>5.99973333843464</v>
      </c>
      <c r="D66" s="9"/>
      <c r="L66" s="1"/>
      <c r="M66" s="1"/>
      <c r="AC66" s="1"/>
    </row>
    <row r="67" customHeight="1" spans="1:29">
      <c r="A67" s="95"/>
      <c r="B67" s="9" t="s">
        <v>2465</v>
      </c>
      <c r="C67" s="96">
        <v>6</v>
      </c>
      <c r="D67" s="9" t="s">
        <v>1885</v>
      </c>
      <c r="L67" s="1"/>
      <c r="M67" s="1"/>
      <c r="AC67" s="1"/>
    </row>
    <row r="68" customHeight="1" spans="1:29">
      <c r="A68" s="29" t="s">
        <v>2415</v>
      </c>
      <c r="B68" s="9" t="s">
        <v>2416</v>
      </c>
      <c r="C68" s="97">
        <f>C58-C59</f>
        <v>0.5</v>
      </c>
      <c r="D68" s="92"/>
      <c r="M68" s="1"/>
      <c r="AC68" s="1"/>
    </row>
    <row r="69" customHeight="1" spans="1:29">
      <c r="A69" s="29"/>
      <c r="B69" s="9" t="s">
        <v>2417</v>
      </c>
      <c r="C69" s="98">
        <f>(C58-C59)*360/C58</f>
        <v>120</v>
      </c>
      <c r="D69" s="92" t="str">
        <f>"需选择分度角≤"&amp;C69&amp;"°"</f>
        <v>需选择分度角≤120°</v>
      </c>
      <c r="M69" s="1"/>
      <c r="AC69" s="1"/>
    </row>
    <row r="70" customHeight="1" spans="1:13">
      <c r="A70" s="29"/>
      <c r="B70" s="9" t="s">
        <v>2418</v>
      </c>
      <c r="C70" s="96">
        <v>120</v>
      </c>
      <c r="D70" s="99" t="s">
        <v>1533</v>
      </c>
      <c r="M70" s="1"/>
    </row>
    <row r="71" customHeight="1" spans="1:13">
      <c r="A71" s="100" t="s">
        <v>2419</v>
      </c>
      <c r="B71" s="9" t="s">
        <v>2466</v>
      </c>
      <c r="C71" s="116">
        <f>C55*(C63/1000/2)^2/C65</f>
        <v>1.50537333333333</v>
      </c>
      <c r="D71" s="117" t="s">
        <v>2467</v>
      </c>
      <c r="M71" s="1"/>
    </row>
    <row r="72" customHeight="1" spans="1:13">
      <c r="A72" s="101"/>
      <c r="B72" s="9" t="s">
        <v>2468</v>
      </c>
      <c r="C72" s="118">
        <v>0.205</v>
      </c>
      <c r="D72" s="117" t="s">
        <v>2469</v>
      </c>
      <c r="M72" s="1"/>
    </row>
    <row r="73" customHeight="1" spans="1:13">
      <c r="A73" s="101"/>
      <c r="B73" s="9" t="s">
        <v>2470</v>
      </c>
      <c r="C73" s="118">
        <v>0.006</v>
      </c>
      <c r="D73" s="117" t="s">
        <v>2471</v>
      </c>
      <c r="M73" s="1"/>
    </row>
    <row r="74" customHeight="1" spans="1:13">
      <c r="A74" s="101"/>
      <c r="B74" s="9" t="s">
        <v>2472</v>
      </c>
      <c r="C74" s="116">
        <f>(C72+C72/C65+C73+C71)/(C61^2*C62)</f>
        <v>8.18589941520468</v>
      </c>
      <c r="D74" s="117" t="s">
        <v>2473</v>
      </c>
      <c r="M74" s="1"/>
    </row>
    <row r="75" customHeight="1" spans="1:4">
      <c r="A75" s="101"/>
      <c r="B75" s="9" t="s">
        <v>2474</v>
      </c>
      <c r="C75" s="118">
        <v>0.02</v>
      </c>
      <c r="D75" s="117" t="s">
        <v>2475</v>
      </c>
    </row>
    <row r="76" customHeight="1" spans="1:4">
      <c r="A76" s="101"/>
      <c r="B76" s="9" t="s">
        <v>2476</v>
      </c>
      <c r="C76" s="116">
        <f>C75+C74</f>
        <v>8.20589941520468</v>
      </c>
      <c r="D76" s="117" t="s">
        <v>2477</v>
      </c>
    </row>
    <row r="77" customHeight="1" spans="1:4">
      <c r="A77" s="101"/>
      <c r="B77" s="9" t="s">
        <v>2420</v>
      </c>
      <c r="C77" s="32">
        <f>60/C58</f>
        <v>40</v>
      </c>
      <c r="D77" s="99"/>
    </row>
    <row r="78" customHeight="1" spans="1:4">
      <c r="A78" s="101"/>
      <c r="B78" s="92" t="s">
        <v>2421</v>
      </c>
      <c r="C78" s="102" t="s">
        <v>2422</v>
      </c>
      <c r="D78" s="99" t="s">
        <v>2423</v>
      </c>
    </row>
    <row r="79" customHeight="1" spans="1:4">
      <c r="A79" s="101"/>
      <c r="B79" s="9" t="s">
        <v>2424</v>
      </c>
      <c r="C79" s="97">
        <f>IF(C78="修正梯形曲线",4.89,IF(C78="修正正弦曲线",5.53,IF(C78="修正等速曲线",8.01,"请选择凸轮曲线类型")))</f>
        <v>5.53</v>
      </c>
      <c r="D79" s="99" t="s">
        <v>1885</v>
      </c>
    </row>
    <row r="80" customHeight="1" spans="1:4">
      <c r="A80" s="101"/>
      <c r="B80" s="9" t="s">
        <v>2425</v>
      </c>
      <c r="C80" s="97">
        <f>IF(C78="修正梯形曲线",1.65,IF(C78="修正正弦曲线",0.99,IF(C78="修正等速曲线",0.72,"请选择凸轮曲线类型")))</f>
        <v>0.99</v>
      </c>
      <c r="D80" s="99" t="s">
        <v>297</v>
      </c>
    </row>
    <row r="81" customHeight="1" spans="1:4">
      <c r="A81" s="101"/>
      <c r="B81" s="9" t="s">
        <v>2478</v>
      </c>
      <c r="C81" s="104">
        <f>72*PI()*C79/C67*(C77/C70)^2</f>
        <v>23.1640098324687</v>
      </c>
      <c r="D81" s="9" t="s">
        <v>2427</v>
      </c>
    </row>
    <row r="82" customHeight="1" spans="1:4">
      <c r="A82" s="101"/>
      <c r="B82" s="9" t="s">
        <v>2429</v>
      </c>
      <c r="C82" s="119">
        <f>C76*C81</f>
        <v>190.081534738051</v>
      </c>
      <c r="D82" s="9" t="str">
        <f>ROUND(C82/9.8,4)&amp;" kgf.m"</f>
        <v>19.3961 kgf.m</v>
      </c>
    </row>
    <row r="83" customHeight="1" spans="1:4">
      <c r="A83" s="101"/>
      <c r="B83" s="9" t="s">
        <v>2479</v>
      </c>
      <c r="C83" s="112">
        <f>(C53+0.5*C54)*9.8*C56</f>
        <v>9.016</v>
      </c>
      <c r="D83" s="9" t="s">
        <v>2480</v>
      </c>
    </row>
    <row r="84" customHeight="1" spans="1:4">
      <c r="A84" s="101"/>
      <c r="B84" s="9" t="s">
        <v>2481</v>
      </c>
      <c r="C84" s="112">
        <f>(C83+C57)*C63/2000</f>
        <v>1.145032</v>
      </c>
      <c r="D84" s="9" t="s">
        <v>2482</v>
      </c>
    </row>
    <row r="85" customHeight="1" spans="1:4">
      <c r="A85" s="101"/>
      <c r="B85" s="9" t="s">
        <v>2483</v>
      </c>
      <c r="C85" s="112">
        <f>C84/(C61*C62*C65)</f>
        <v>2.67843742690058</v>
      </c>
      <c r="D85" s="9" t="s">
        <v>2484</v>
      </c>
    </row>
    <row r="86" customHeight="1" spans="1:4">
      <c r="A86" s="101"/>
      <c r="B86" s="9" t="s">
        <v>2485</v>
      </c>
      <c r="C86" s="112">
        <f>C85+C82</f>
        <v>192.759972164951</v>
      </c>
      <c r="D86" s="9" t="s">
        <v>2486</v>
      </c>
    </row>
    <row r="87" customHeight="1" spans="1:4">
      <c r="A87" s="101"/>
      <c r="B87" s="9" t="s">
        <v>2487</v>
      </c>
      <c r="C87" s="105">
        <v>2</v>
      </c>
      <c r="D87" s="9" t="s">
        <v>2488</v>
      </c>
    </row>
    <row r="88" customHeight="1" spans="1:4">
      <c r="A88" s="101"/>
      <c r="B88" s="9" t="s">
        <v>2489</v>
      </c>
      <c r="C88" s="97">
        <f>C87*C86</f>
        <v>385.519944329902</v>
      </c>
      <c r="D88" s="9" t="s">
        <v>2490</v>
      </c>
    </row>
    <row r="89" customHeight="1" spans="1:4">
      <c r="A89" s="101"/>
      <c r="B89" s="92" t="s">
        <v>2435</v>
      </c>
      <c r="C89" s="108"/>
      <c r="D89" s="9" t="s">
        <v>302</v>
      </c>
    </row>
    <row r="90" customHeight="1" spans="1:4">
      <c r="A90" s="101"/>
      <c r="B90" s="92" t="s">
        <v>2437</v>
      </c>
      <c r="C90" s="109"/>
      <c r="D90" s="9" t="s">
        <v>302</v>
      </c>
    </row>
    <row r="91" customHeight="1" spans="1:4">
      <c r="A91" s="101"/>
      <c r="B91" s="9" t="s">
        <v>2438</v>
      </c>
      <c r="C91" s="97">
        <f>C80*C88*360/C67/C70</f>
        <v>190.832372443302</v>
      </c>
      <c r="D91" s="9" t="s">
        <v>2439</v>
      </c>
    </row>
    <row r="92" customHeight="1" spans="1:4">
      <c r="A92" s="110"/>
      <c r="B92" s="92" t="s">
        <v>2271</v>
      </c>
      <c r="C92" s="111"/>
      <c r="D92" s="9"/>
    </row>
    <row r="93" customHeight="1" spans="1:4">
      <c r="A93" s="88" t="s">
        <v>2491</v>
      </c>
      <c r="B93" s="88"/>
      <c r="C93" s="88"/>
      <c r="D93" s="88"/>
    </row>
    <row r="94" customHeight="1" spans="1:4">
      <c r="A94" s="89" t="s">
        <v>269</v>
      </c>
      <c r="B94" s="9" t="s">
        <v>270</v>
      </c>
      <c r="C94" s="32" t="s">
        <v>271</v>
      </c>
      <c r="D94" s="9" t="s">
        <v>272</v>
      </c>
    </row>
    <row r="95" customHeight="1" spans="1:4">
      <c r="A95" s="120"/>
      <c r="B95" s="9" t="s">
        <v>2454</v>
      </c>
      <c r="C95" s="94">
        <f>0.5</f>
        <v>0.5</v>
      </c>
      <c r="D95" s="9"/>
    </row>
    <row r="96" customHeight="1" spans="1:4">
      <c r="A96" s="120"/>
      <c r="B96" s="9" t="s">
        <v>2455</v>
      </c>
      <c r="C96" s="94">
        <v>15</v>
      </c>
      <c r="D96" s="9"/>
    </row>
    <row r="97" customHeight="1" spans="1:4">
      <c r="A97" s="120"/>
      <c r="B97" s="9" t="s">
        <v>2105</v>
      </c>
      <c r="C97" s="32">
        <f>C95+C96</f>
        <v>15.5</v>
      </c>
      <c r="D97" s="9"/>
    </row>
    <row r="98" customHeight="1" spans="1:4">
      <c r="A98" s="120"/>
      <c r="B98" s="9" t="s">
        <v>2492</v>
      </c>
      <c r="C98" s="94">
        <v>1.9</v>
      </c>
      <c r="D98" s="9"/>
    </row>
    <row r="99" customHeight="1" spans="1:4">
      <c r="A99" s="120"/>
      <c r="B99" s="9" t="s">
        <v>2456</v>
      </c>
      <c r="C99" s="94">
        <v>0.05</v>
      </c>
      <c r="D99" s="9"/>
    </row>
    <row r="100" customHeight="1" spans="1:4">
      <c r="A100" s="120"/>
      <c r="B100" s="9" t="s">
        <v>2493</v>
      </c>
      <c r="C100" s="94">
        <v>0</v>
      </c>
      <c r="D100" s="9"/>
    </row>
    <row r="101" customHeight="1" spans="1:4">
      <c r="A101" s="120"/>
      <c r="B101" s="9" t="s">
        <v>2494</v>
      </c>
      <c r="C101" s="94">
        <v>300</v>
      </c>
      <c r="D101" s="9"/>
    </row>
    <row r="102" customHeight="1" spans="1:4">
      <c r="A102" s="121" t="s">
        <v>164</v>
      </c>
      <c r="B102" s="9" t="s">
        <v>2412</v>
      </c>
      <c r="C102" s="91">
        <v>1</v>
      </c>
      <c r="D102" s="92"/>
    </row>
    <row r="103" customHeight="1" spans="1:4">
      <c r="A103" s="122"/>
      <c r="B103" s="9" t="s">
        <v>2413</v>
      </c>
      <c r="C103" s="91">
        <v>0.75</v>
      </c>
      <c r="D103" s="92"/>
    </row>
    <row r="104" customHeight="1" spans="1:4">
      <c r="A104" s="122"/>
      <c r="B104" s="9" t="s">
        <v>2495</v>
      </c>
      <c r="C104" s="94">
        <v>60</v>
      </c>
      <c r="D104" s="9"/>
    </row>
    <row r="105" customHeight="1" spans="1:4">
      <c r="A105" s="122"/>
      <c r="B105" s="9" t="s">
        <v>2496</v>
      </c>
      <c r="C105" s="32">
        <f>360/C104</f>
        <v>6</v>
      </c>
      <c r="D105" s="123" t="s">
        <v>2497</v>
      </c>
    </row>
    <row r="106" customHeight="1" spans="1:4">
      <c r="A106" s="122"/>
      <c r="B106" s="9" t="s">
        <v>2498</v>
      </c>
      <c r="C106" s="94">
        <v>0.7</v>
      </c>
      <c r="D106" s="9"/>
    </row>
    <row r="107" customHeight="1" spans="1:4">
      <c r="A107" s="122"/>
      <c r="B107" s="9" t="s">
        <v>2499</v>
      </c>
      <c r="C107" s="94">
        <v>300</v>
      </c>
      <c r="D107" s="113" t="s">
        <v>2461</v>
      </c>
    </row>
    <row r="108" customHeight="1" spans="1:4">
      <c r="A108" s="122"/>
      <c r="B108" s="9" t="s">
        <v>2500</v>
      </c>
      <c r="C108" s="32">
        <f>0.5*C107</f>
        <v>150</v>
      </c>
      <c r="D108" s="9" t="s">
        <v>2501</v>
      </c>
    </row>
    <row r="109" customHeight="1" spans="1:9">
      <c r="A109" s="122"/>
      <c r="B109" s="9" t="s">
        <v>2502</v>
      </c>
      <c r="C109" s="97">
        <f>C101*C105/2/PI()</f>
        <v>286.478897565412</v>
      </c>
      <c r="D109" s="9" t="s">
        <v>2503</v>
      </c>
      <c r="F109" s="124"/>
      <c r="G109" s="125"/>
      <c r="H109" s="125"/>
      <c r="I109" s="125"/>
    </row>
    <row r="110" customHeight="1" spans="1:4">
      <c r="A110" s="29" t="s">
        <v>2415</v>
      </c>
      <c r="B110" s="9" t="s">
        <v>2416</v>
      </c>
      <c r="C110" s="97">
        <f>C102-C103</f>
        <v>0.25</v>
      </c>
      <c r="D110" s="92"/>
    </row>
    <row r="111" customHeight="1" spans="1:4">
      <c r="A111" s="29"/>
      <c r="B111" s="9" t="s">
        <v>2417</v>
      </c>
      <c r="C111" s="98">
        <f>(C102-C103)*360/C102</f>
        <v>90</v>
      </c>
      <c r="D111" s="9" t="str">
        <f>"需选择分度角≤"&amp;C111&amp;"°"</f>
        <v>需选择分度角≤90°</v>
      </c>
    </row>
    <row r="112" customHeight="1" spans="1:4">
      <c r="A112" s="29"/>
      <c r="B112" s="9" t="s">
        <v>2418</v>
      </c>
      <c r="C112" s="96">
        <v>90</v>
      </c>
      <c r="D112" s="99" t="s">
        <v>1533</v>
      </c>
    </row>
    <row r="113" customHeight="1" spans="1:4">
      <c r="A113" s="126"/>
      <c r="B113" s="9" t="s">
        <v>2504</v>
      </c>
      <c r="C113" s="118">
        <v>0.06</v>
      </c>
      <c r="D113" s="117" t="s">
        <v>2505</v>
      </c>
    </row>
    <row r="114" customHeight="1" spans="1:4">
      <c r="A114" s="126"/>
      <c r="B114" s="9" t="s">
        <v>2506</v>
      </c>
      <c r="C114" s="127">
        <f>C97*(C101/1000)^2</f>
        <v>1.395</v>
      </c>
      <c r="D114" s="117" t="s">
        <v>2507</v>
      </c>
    </row>
    <row r="115" customHeight="1" spans="1:4">
      <c r="A115" s="126"/>
      <c r="B115" s="9" t="s">
        <v>2472</v>
      </c>
      <c r="C115" s="116">
        <f>(C113+C114)/C106</f>
        <v>2.07857142857143</v>
      </c>
      <c r="D115" s="117" t="s">
        <v>2508</v>
      </c>
    </row>
    <row r="116" customHeight="1" spans="1:4">
      <c r="A116" s="126"/>
      <c r="B116" s="9" t="s">
        <v>2476</v>
      </c>
      <c r="C116" s="116">
        <f>C115</f>
        <v>2.07857142857143</v>
      </c>
      <c r="D116" s="117"/>
    </row>
    <row r="117" customHeight="1" spans="1:4">
      <c r="A117" s="126" t="s">
        <v>2419</v>
      </c>
      <c r="B117" s="9" t="s">
        <v>2420</v>
      </c>
      <c r="C117" s="32">
        <f>60/C102</f>
        <v>60</v>
      </c>
      <c r="D117" s="99"/>
    </row>
    <row r="118" customHeight="1" spans="1:4">
      <c r="A118" s="122"/>
      <c r="B118" s="92" t="s">
        <v>2421</v>
      </c>
      <c r="C118" s="102" t="s">
        <v>2422</v>
      </c>
      <c r="D118" s="99" t="s">
        <v>2423</v>
      </c>
    </row>
    <row r="119" customHeight="1" spans="1:4">
      <c r="A119" s="122"/>
      <c r="B119" s="9" t="s">
        <v>2424</v>
      </c>
      <c r="C119" s="97">
        <f>IF(C118="修正梯形曲线",4.89,IF(C118="修正正弦曲线",5.53,IF(C118="修正等速曲线",8.01,"请选择凸轮曲线类型")))</f>
        <v>5.53</v>
      </c>
      <c r="D119" s="99" t="s">
        <v>1885</v>
      </c>
    </row>
    <row r="120" customHeight="1" spans="1:4">
      <c r="A120" s="122"/>
      <c r="B120" s="9" t="s">
        <v>2425</v>
      </c>
      <c r="C120" s="97">
        <f>IF(C118="修正梯形曲线",1.65,IF(C118="修正正弦曲线",0.99,IF(C118="修正等速曲线",0.72,"请选择凸轮曲线类型")))</f>
        <v>0.99</v>
      </c>
      <c r="D120" s="99" t="s">
        <v>297</v>
      </c>
    </row>
    <row r="121" customHeight="1" spans="1:4">
      <c r="A121" s="122"/>
      <c r="B121" s="9" t="s">
        <v>2478</v>
      </c>
      <c r="C121" s="128">
        <f>72*PI()*C119/C105*(C117/C112)^2</f>
        <v>92.656039329875</v>
      </c>
      <c r="D121" s="9" t="s">
        <v>2509</v>
      </c>
    </row>
    <row r="122" customHeight="1" spans="1:5">
      <c r="A122" s="122"/>
      <c r="B122" s="9" t="s">
        <v>2429</v>
      </c>
      <c r="C122" s="119">
        <f>C116*C121</f>
        <v>192.592196035669</v>
      </c>
      <c r="D122" s="9" t="str">
        <f>ROUND(C122/9.8,4)&amp;" kgf.m"</f>
        <v>19.6523 kgf.m</v>
      </c>
      <c r="E122" s="129"/>
    </row>
    <row r="123" customHeight="1" spans="1:4">
      <c r="A123" s="122"/>
      <c r="B123" s="9" t="s">
        <v>2479</v>
      </c>
      <c r="C123" s="112">
        <f>C97*9.8*C99</f>
        <v>7.595</v>
      </c>
      <c r="D123" s="9" t="s">
        <v>2510</v>
      </c>
    </row>
    <row r="124" customHeight="1" spans="1:4">
      <c r="A124" s="122"/>
      <c r="B124" s="9" t="s">
        <v>2511</v>
      </c>
      <c r="C124" s="112">
        <f>C123*C109/1000</f>
        <v>2.1758072270093</v>
      </c>
      <c r="D124" s="9" t="s">
        <v>2512</v>
      </c>
    </row>
    <row r="125" customHeight="1" spans="1:4">
      <c r="A125" s="9"/>
      <c r="B125" s="9" t="s">
        <v>2513</v>
      </c>
      <c r="C125" s="112">
        <f>C100*C107/1000</f>
        <v>0</v>
      </c>
      <c r="D125" s="9" t="s">
        <v>2514</v>
      </c>
    </row>
    <row r="126" customHeight="1" spans="1:4">
      <c r="A126" s="122"/>
      <c r="B126" s="9" t="s">
        <v>2485</v>
      </c>
      <c r="C126" s="112">
        <f>C125+C124+C122</f>
        <v>194.768003262678</v>
      </c>
      <c r="D126" s="9" t="s">
        <v>2515</v>
      </c>
    </row>
    <row r="127" customHeight="1" spans="1:4">
      <c r="A127" s="122"/>
      <c r="B127" s="9" t="s">
        <v>2487</v>
      </c>
      <c r="C127" s="105">
        <v>1.2</v>
      </c>
      <c r="D127" s="9" t="s">
        <v>2405</v>
      </c>
    </row>
    <row r="128" customHeight="1" spans="1:4">
      <c r="A128" s="122"/>
      <c r="B128" s="9" t="s">
        <v>2489</v>
      </c>
      <c r="C128" s="97">
        <f>C127*C126</f>
        <v>233.721603915214</v>
      </c>
      <c r="D128" s="9" t="s">
        <v>2490</v>
      </c>
    </row>
    <row r="129" customHeight="1" spans="1:4">
      <c r="A129" s="122"/>
      <c r="B129" s="92" t="s">
        <v>2435</v>
      </c>
      <c r="C129" s="108"/>
      <c r="D129" s="9" t="s">
        <v>302</v>
      </c>
    </row>
    <row r="130" customHeight="1" spans="1:4">
      <c r="A130" s="122"/>
      <c r="B130" s="92" t="s">
        <v>2437</v>
      </c>
      <c r="C130" s="109"/>
      <c r="D130" s="9" t="s">
        <v>302</v>
      </c>
    </row>
    <row r="131" customHeight="1" spans="1:4">
      <c r="A131" s="122"/>
      <c r="B131" s="9" t="s">
        <v>2438</v>
      </c>
      <c r="C131" s="97">
        <f>C120*C128*360/C105/C112</f>
        <v>154.256258584041</v>
      </c>
      <c r="D131" s="9" t="s">
        <v>2516</v>
      </c>
    </row>
    <row r="132" customHeight="1" spans="1:6">
      <c r="A132" s="130"/>
      <c r="B132" s="92" t="s">
        <v>2271</v>
      </c>
      <c r="C132" s="111"/>
      <c r="D132" s="9"/>
      <c r="F132" s="82" t="s">
        <v>2517</v>
      </c>
    </row>
    <row r="133" customHeight="1" spans="1:4">
      <c r="A133" s="131" t="s">
        <v>2518</v>
      </c>
      <c r="B133" s="132"/>
      <c r="C133" s="132"/>
      <c r="D133" s="133"/>
    </row>
    <row r="134" customHeight="1" spans="1:4">
      <c r="A134" s="134"/>
      <c r="B134" s="135"/>
      <c r="C134" s="135"/>
      <c r="D134" s="136"/>
    </row>
    <row r="135" customHeight="1" spans="1:4">
      <c r="A135" s="134"/>
      <c r="B135" s="135"/>
      <c r="C135" s="135"/>
      <c r="D135" s="136"/>
    </row>
    <row r="136" customHeight="1" spans="1:4">
      <c r="A136" s="134"/>
      <c r="B136" s="135"/>
      <c r="C136" s="135"/>
      <c r="D136" s="136"/>
    </row>
    <row r="137" customHeight="1" spans="1:4">
      <c r="A137" s="82" t="s">
        <v>2519</v>
      </c>
      <c r="B137" s="137"/>
      <c r="C137" s="137"/>
      <c r="D137" s="138"/>
    </row>
    <row r="138" customHeight="1" spans="1:4">
      <c r="A138" s="139"/>
      <c r="B138" s="137"/>
      <c r="C138" s="137"/>
      <c r="D138" s="138"/>
    </row>
    <row r="139" customHeight="1" spans="1:4">
      <c r="A139" s="139"/>
      <c r="B139" s="137"/>
      <c r="C139" s="137"/>
      <c r="D139" s="138"/>
    </row>
    <row r="140" customHeight="1" spans="1:4">
      <c r="A140" s="139"/>
      <c r="B140" s="137"/>
      <c r="C140" s="137"/>
      <c r="D140" s="138"/>
    </row>
    <row r="141" customHeight="1" spans="1:6">
      <c r="A141" s="139"/>
      <c r="B141" s="137"/>
      <c r="C141" s="137"/>
      <c r="D141" s="138"/>
      <c r="F141" s="106" t="s">
        <v>2520</v>
      </c>
    </row>
    <row r="142" customHeight="1" spans="1:4">
      <c r="A142" s="139"/>
      <c r="B142" s="137"/>
      <c r="C142" s="137"/>
      <c r="D142" s="138"/>
    </row>
    <row r="143" customHeight="1" spans="1:4">
      <c r="A143" s="139"/>
      <c r="B143" s="137"/>
      <c r="C143" s="137"/>
      <c r="D143" s="138"/>
    </row>
    <row r="144" customHeight="1" spans="1:4">
      <c r="A144" s="139"/>
      <c r="B144" s="137"/>
      <c r="C144" s="137"/>
      <c r="D144" s="138"/>
    </row>
    <row r="145" customHeight="1" spans="1:4">
      <c r="A145" s="139"/>
      <c r="B145" s="137"/>
      <c r="C145" s="137"/>
      <c r="D145" s="138"/>
    </row>
    <row r="146" customHeight="1" spans="1:4">
      <c r="A146" s="139"/>
      <c r="B146" s="137"/>
      <c r="C146" s="137"/>
      <c r="D146" s="138"/>
    </row>
    <row r="147" customHeight="1" spans="1:4">
      <c r="A147" s="139"/>
      <c r="B147" s="137"/>
      <c r="C147" s="137"/>
      <c r="D147" s="138"/>
    </row>
    <row r="148" customHeight="1" spans="1:4">
      <c r="A148" s="139"/>
      <c r="B148" s="137"/>
      <c r="C148" s="137"/>
      <c r="D148" s="138"/>
    </row>
    <row r="149" customHeight="1" spans="1:4">
      <c r="A149" s="139"/>
      <c r="B149" s="137"/>
      <c r="C149" s="137"/>
      <c r="D149" s="138"/>
    </row>
    <row r="150" customHeight="1" spans="1:4">
      <c r="A150" s="139"/>
      <c r="B150" s="137"/>
      <c r="C150" s="137"/>
      <c r="D150" s="138"/>
    </row>
    <row r="151" customHeight="1" spans="1:4">
      <c r="A151" s="139"/>
      <c r="B151" s="137"/>
      <c r="C151" s="137"/>
      <c r="D151" s="138"/>
    </row>
    <row r="152" customHeight="1" spans="1:4">
      <c r="A152" s="139"/>
      <c r="B152" s="137"/>
      <c r="C152" s="137"/>
      <c r="D152" s="138"/>
    </row>
    <row r="153" customHeight="1" spans="1:4">
      <c r="A153" s="139"/>
      <c r="B153" s="137"/>
      <c r="C153" s="137"/>
      <c r="D153" s="138"/>
    </row>
    <row r="154" customHeight="1" spans="1:4">
      <c r="A154" s="140"/>
      <c r="B154" s="141"/>
      <c r="C154" s="141"/>
      <c r="D154" s="142"/>
    </row>
    <row r="155" customHeight="1" spans="1:4">
      <c r="A155" s="143" t="s">
        <v>2521</v>
      </c>
      <c r="B155" s="143"/>
      <c r="C155" s="143"/>
      <c r="D155" s="143"/>
    </row>
    <row r="156" customHeight="1" spans="1:4">
      <c r="A156" s="143"/>
      <c r="B156" s="143"/>
      <c r="C156" s="143"/>
      <c r="D156" s="143"/>
    </row>
    <row r="157" customHeight="1" spans="1:4">
      <c r="A157" s="143"/>
      <c r="B157" s="143"/>
      <c r="C157" s="143"/>
      <c r="D157" s="143"/>
    </row>
    <row r="158" customHeight="1" spans="1:4">
      <c r="A158" s="143"/>
      <c r="B158" s="143"/>
      <c r="C158" s="143"/>
      <c r="D158" s="143"/>
    </row>
    <row r="159" customHeight="1" spans="1:4">
      <c r="A159" s="143"/>
      <c r="B159" s="143"/>
      <c r="C159" s="143"/>
      <c r="D159" s="143"/>
    </row>
    <row r="160" customHeight="1" spans="1:4">
      <c r="A160" s="143"/>
      <c r="B160" s="143"/>
      <c r="C160" s="143"/>
      <c r="D160" s="143"/>
    </row>
    <row r="161" customHeight="1" spans="1:4">
      <c r="A161" s="144"/>
      <c r="B161" s="145"/>
      <c r="C161" s="145"/>
      <c r="D161" s="145"/>
    </row>
    <row r="162" customHeight="1" spans="1:4">
      <c r="A162" s="144"/>
      <c r="B162" s="145"/>
      <c r="C162" s="145"/>
      <c r="D162" s="145"/>
    </row>
    <row r="163" customHeight="1" spans="1:4">
      <c r="A163" s="145"/>
      <c r="B163" s="145"/>
      <c r="C163" s="145"/>
      <c r="D163" s="145"/>
    </row>
  </sheetData>
  <customSheetViews>
    <customSheetView guid="{27B96A40-A6B2-43F7-A93C-713F4207CB2A}">
      <selection activeCell="L19" sqref="L19"/>
      <pageMargins left="0.7" right="0.7" top="0.75" bottom="0.75" header="0.3" footer="0.3"/>
      <pageSetup paperSize="9" orientation="portrait"/>
      <headerFooter/>
    </customSheetView>
  </customSheetViews>
  <mergeCells count="17">
    <mergeCell ref="A1:D1"/>
    <mergeCell ref="A2:D2"/>
    <mergeCell ref="A24:D24"/>
    <mergeCell ref="A51:D51"/>
    <mergeCell ref="A93:D93"/>
    <mergeCell ref="A4:A7"/>
    <mergeCell ref="A8:A10"/>
    <mergeCell ref="A11:A23"/>
    <mergeCell ref="A26:A32"/>
    <mergeCell ref="A33:A35"/>
    <mergeCell ref="A36:A50"/>
    <mergeCell ref="A53:A67"/>
    <mergeCell ref="A68:A70"/>
    <mergeCell ref="A71:A92"/>
    <mergeCell ref="A110:A112"/>
    <mergeCell ref="A133:D136"/>
    <mergeCell ref="A155:D160"/>
  </mergeCells>
  <dataValidations count="1">
    <dataValidation type="list" allowBlank="1" showInputMessage="1" showErrorMessage="1" prompt="请选择" sqref="C12 C37 C78 C118">
      <formula1>"修正梯形曲线,修正正弦曲线,修正等速曲线"</formula1>
    </dataValidation>
  </dataValidations>
  <pageMargins left="0.7" right="0.7" top="0.75" bottom="0.75" header="0.3" footer="0.3"/>
  <pageSetup paperSize="9" orientation="portrait"/>
  <headerFooter/>
  <drawing r:id="rId1"/>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13"/>
  <sheetViews>
    <sheetView workbookViewId="0">
      <selection activeCell="A1" sqref="A1:F1"/>
    </sheetView>
  </sheetViews>
  <sheetFormatPr defaultColWidth="9" defaultRowHeight="13.8" outlineLevelCol="5"/>
  <cols>
    <col min="1" max="1" width="6.625" style="47" customWidth="1"/>
    <col min="2" max="3" width="7.375" style="47" customWidth="1"/>
    <col min="4" max="4" width="9" style="47"/>
    <col min="5" max="5" width="10.125" style="47" customWidth="1"/>
    <col min="6" max="16384" width="9" style="47"/>
  </cols>
  <sheetData>
    <row r="1" ht="21.95" customHeight="1" spans="1:6">
      <c r="A1" s="70" t="s">
        <v>2522</v>
      </c>
      <c r="B1" s="71"/>
      <c r="C1" s="71"/>
      <c r="D1" s="71"/>
      <c r="E1" s="71"/>
      <c r="F1" s="71"/>
    </row>
    <row r="2" ht="14.4" spans="1:6">
      <c r="A2" s="72" t="s">
        <v>2523</v>
      </c>
      <c r="B2" s="6" t="s">
        <v>2524</v>
      </c>
      <c r="C2" s="6" t="s">
        <v>2525</v>
      </c>
      <c r="D2" s="6" t="s">
        <v>2526</v>
      </c>
      <c r="E2" s="6" t="s">
        <v>2527</v>
      </c>
      <c r="F2" s="73" t="s">
        <v>2528</v>
      </c>
    </row>
    <row r="3" ht="22.5" customHeight="1" spans="1:6">
      <c r="A3" s="74"/>
      <c r="B3" s="75">
        <v>20</v>
      </c>
      <c r="C3" s="76">
        <f>0.00067428877200193*B3^3+0.0769579724387395*B3^2+0.747191479924092*B3+173.445847061641</f>
        <v>224.567175811634</v>
      </c>
      <c r="D3" s="76">
        <f>4.2248828596714E-07*B3^5-0.0000323532476028121*B3^4+0.00207900971981279*B3^3+0.000918507031840821*B3^2+3.45696538194792*B3+143.829462674744</f>
        <v>226.143693783586</v>
      </c>
      <c r="E3" s="76">
        <f>0.00054403372458367*B3^4-0.0607985540379445*B3^3+2.80959255786399*B3^2-38.8478615371778*B3+827.370542708738</f>
        <v>774.907298740609</v>
      </c>
      <c r="F3" s="76">
        <f>0.000915795530559649*B3^4-0.103372270706586*B3^3+4.62246067206115*B3^2-73.5662561641511*B3+1043.73197169709</f>
        <v>740.940236475384</v>
      </c>
    </row>
    <row r="4" spans="1:2">
      <c r="A4" s="77"/>
      <c r="B4" s="77"/>
    </row>
    <row r="5" ht="14.4" spans="1:2">
      <c r="A5" s="78" t="s">
        <v>2529</v>
      </c>
      <c r="B5" s="77"/>
    </row>
    <row r="6" ht="14.4" spans="1:5">
      <c r="A6" s="6" t="s">
        <v>2524</v>
      </c>
      <c r="B6" s="6" t="s">
        <v>2525</v>
      </c>
      <c r="C6" s="6" t="s">
        <v>2526</v>
      </c>
      <c r="D6" s="73" t="s">
        <v>2530</v>
      </c>
      <c r="E6" s="73" t="s">
        <v>2528</v>
      </c>
    </row>
    <row r="7" spans="1:5">
      <c r="A7" s="6">
        <v>17</v>
      </c>
      <c r="B7" s="79">
        <v>211</v>
      </c>
      <c r="C7" s="6">
        <v>211</v>
      </c>
      <c r="D7" s="79"/>
      <c r="E7" s="6"/>
    </row>
    <row r="8" spans="1:5">
      <c r="A8" s="6">
        <v>17.5</v>
      </c>
      <c r="B8" s="79">
        <v>214</v>
      </c>
      <c r="C8" s="6">
        <v>214</v>
      </c>
      <c r="D8" s="79"/>
      <c r="E8" s="6"/>
    </row>
    <row r="9" spans="1:5">
      <c r="A9" s="6">
        <v>18</v>
      </c>
      <c r="B9" s="79">
        <v>216</v>
      </c>
      <c r="C9" s="6">
        <v>216</v>
      </c>
      <c r="D9" s="79"/>
      <c r="E9" s="6"/>
    </row>
    <row r="10" spans="1:5">
      <c r="A10" s="6">
        <v>18.5</v>
      </c>
      <c r="B10" s="79">
        <v>218</v>
      </c>
      <c r="C10" s="6">
        <v>218</v>
      </c>
      <c r="D10" s="79"/>
      <c r="E10" s="6"/>
    </row>
    <row r="11" spans="1:5">
      <c r="A11" s="6">
        <v>19</v>
      </c>
      <c r="B11" s="79">
        <v>220</v>
      </c>
      <c r="C11" s="6">
        <v>221</v>
      </c>
      <c r="D11" s="79"/>
      <c r="E11" s="6"/>
    </row>
    <row r="12" spans="1:5">
      <c r="A12" s="6">
        <v>19.5</v>
      </c>
      <c r="B12" s="79">
        <v>222</v>
      </c>
      <c r="C12" s="6">
        <v>223</v>
      </c>
      <c r="D12" s="79"/>
      <c r="E12" s="6"/>
    </row>
    <row r="13" spans="1:5">
      <c r="A13" s="6">
        <v>20</v>
      </c>
      <c r="B13" s="79">
        <v>225</v>
      </c>
      <c r="C13" s="6">
        <v>226</v>
      </c>
      <c r="D13" s="79">
        <v>774</v>
      </c>
      <c r="E13" s="6">
        <v>740</v>
      </c>
    </row>
    <row r="14" spans="1:5">
      <c r="A14" s="6">
        <v>20.5</v>
      </c>
      <c r="B14" s="79">
        <v>227</v>
      </c>
      <c r="C14" s="6">
        <v>229</v>
      </c>
      <c r="D14" s="79">
        <v>784</v>
      </c>
      <c r="E14" s="6">
        <v>749</v>
      </c>
    </row>
    <row r="15" spans="1:5">
      <c r="A15" s="6">
        <v>21</v>
      </c>
      <c r="B15" s="79">
        <v>229</v>
      </c>
      <c r="C15" s="6">
        <v>231</v>
      </c>
      <c r="D15" s="79">
        <v>793</v>
      </c>
      <c r="E15" s="6">
        <v>758</v>
      </c>
    </row>
    <row r="16" spans="1:5">
      <c r="A16" s="6">
        <v>21.5</v>
      </c>
      <c r="B16" s="79">
        <v>232</v>
      </c>
      <c r="C16" s="6">
        <v>234</v>
      </c>
      <c r="D16" s="79">
        <v>803</v>
      </c>
      <c r="E16" s="6">
        <v>767</v>
      </c>
    </row>
    <row r="17" spans="1:5">
      <c r="A17" s="6">
        <v>22</v>
      </c>
      <c r="B17" s="79">
        <v>234</v>
      </c>
      <c r="C17" s="6">
        <v>237</v>
      </c>
      <c r="D17" s="79">
        <v>813</v>
      </c>
      <c r="E17" s="6">
        <v>777</v>
      </c>
    </row>
    <row r="18" spans="1:5">
      <c r="A18" s="6">
        <v>22.5</v>
      </c>
      <c r="B18" s="79">
        <v>237</v>
      </c>
      <c r="C18" s="6">
        <v>240</v>
      </c>
      <c r="D18" s="79">
        <v>823</v>
      </c>
      <c r="E18" s="6">
        <v>786</v>
      </c>
    </row>
    <row r="19" spans="1:5">
      <c r="A19" s="6">
        <v>23</v>
      </c>
      <c r="B19" s="79">
        <v>240</v>
      </c>
      <c r="C19" s="6">
        <v>243</v>
      </c>
      <c r="D19" s="79">
        <v>833</v>
      </c>
      <c r="E19" s="6">
        <v>796</v>
      </c>
    </row>
    <row r="20" spans="1:5">
      <c r="A20" s="6">
        <v>23.5</v>
      </c>
      <c r="B20" s="79">
        <v>242</v>
      </c>
      <c r="C20" s="6">
        <v>246</v>
      </c>
      <c r="D20" s="79">
        <v>843</v>
      </c>
      <c r="E20" s="6">
        <v>806</v>
      </c>
    </row>
    <row r="21" spans="1:5">
      <c r="A21" s="6">
        <v>24</v>
      </c>
      <c r="B21" s="79">
        <v>245</v>
      </c>
      <c r="C21" s="6">
        <v>249</v>
      </c>
      <c r="D21" s="79">
        <v>854</v>
      </c>
      <c r="E21" s="6">
        <v>816</v>
      </c>
    </row>
    <row r="22" spans="1:5">
      <c r="A22" s="6">
        <v>24.5</v>
      </c>
      <c r="B22" s="79">
        <v>248</v>
      </c>
      <c r="C22" s="6">
        <v>252</v>
      </c>
      <c r="D22" s="79">
        <v>864</v>
      </c>
      <c r="E22" s="6">
        <v>826</v>
      </c>
    </row>
    <row r="23" spans="1:5">
      <c r="A23" s="6">
        <v>25</v>
      </c>
      <c r="B23" s="79">
        <v>251</v>
      </c>
      <c r="C23" s="6">
        <v>255</v>
      </c>
      <c r="D23" s="79">
        <v>875</v>
      </c>
      <c r="E23" s="6">
        <v>837</v>
      </c>
    </row>
    <row r="24" spans="1:5">
      <c r="A24" s="6">
        <v>25.5</v>
      </c>
      <c r="B24" s="79">
        <v>254</v>
      </c>
      <c r="C24" s="6">
        <v>258</v>
      </c>
      <c r="D24" s="79">
        <v>886</v>
      </c>
      <c r="E24" s="6">
        <v>847</v>
      </c>
    </row>
    <row r="25" spans="1:5">
      <c r="A25" s="6">
        <v>26</v>
      </c>
      <c r="B25" s="79">
        <v>257</v>
      </c>
      <c r="C25" s="6">
        <v>261</v>
      </c>
      <c r="D25" s="79">
        <v>897</v>
      </c>
      <c r="E25" s="6">
        <v>858</v>
      </c>
    </row>
    <row r="26" spans="1:5">
      <c r="A26" s="6">
        <v>26.5</v>
      </c>
      <c r="B26" s="79">
        <v>260</v>
      </c>
      <c r="C26" s="6">
        <v>264</v>
      </c>
      <c r="D26" s="79">
        <v>908</v>
      </c>
      <c r="E26" s="6">
        <v>868</v>
      </c>
    </row>
    <row r="27" spans="1:5">
      <c r="A27" s="6">
        <v>27</v>
      </c>
      <c r="B27" s="79">
        <v>263</v>
      </c>
      <c r="C27" s="6">
        <v>268</v>
      </c>
      <c r="D27" s="79">
        <v>919</v>
      </c>
      <c r="E27" s="6">
        <v>879</v>
      </c>
    </row>
    <row r="28" spans="1:5">
      <c r="A28" s="6">
        <v>27.5</v>
      </c>
      <c r="B28" s="79">
        <v>266</v>
      </c>
      <c r="C28" s="6">
        <v>271</v>
      </c>
      <c r="D28" s="79">
        <v>930</v>
      </c>
      <c r="E28" s="6">
        <v>890</v>
      </c>
    </row>
    <row r="29" spans="1:5">
      <c r="A29" s="6">
        <v>28</v>
      </c>
      <c r="B29" s="79">
        <v>269</v>
      </c>
      <c r="C29" s="6">
        <v>274</v>
      </c>
      <c r="D29" s="79">
        <v>942</v>
      </c>
      <c r="E29" s="6">
        <v>901</v>
      </c>
    </row>
    <row r="30" spans="1:5">
      <c r="A30" s="6">
        <v>28.5</v>
      </c>
      <c r="B30" s="79">
        <v>273</v>
      </c>
      <c r="C30" s="6">
        <v>278</v>
      </c>
      <c r="D30" s="79">
        <v>954</v>
      </c>
      <c r="E30" s="6">
        <v>913</v>
      </c>
    </row>
    <row r="31" spans="1:5">
      <c r="A31" s="6">
        <v>29</v>
      </c>
      <c r="B31" s="79">
        <v>276</v>
      </c>
      <c r="C31" s="6">
        <v>281</v>
      </c>
      <c r="D31" s="79">
        <v>965</v>
      </c>
      <c r="E31" s="6">
        <v>924</v>
      </c>
    </row>
    <row r="32" spans="1:5">
      <c r="A32" s="6">
        <v>29.5</v>
      </c>
      <c r="B32" s="79">
        <v>280</v>
      </c>
      <c r="C32" s="6">
        <v>285</v>
      </c>
      <c r="D32" s="79">
        <v>977</v>
      </c>
      <c r="E32" s="6">
        <v>936</v>
      </c>
    </row>
    <row r="33" spans="1:5">
      <c r="A33" s="6">
        <v>30</v>
      </c>
      <c r="B33" s="79">
        <v>283</v>
      </c>
      <c r="C33" s="6">
        <v>288</v>
      </c>
      <c r="D33" s="79">
        <v>989</v>
      </c>
      <c r="E33" s="6">
        <v>947</v>
      </c>
    </row>
    <row r="34" spans="1:5">
      <c r="A34" s="6">
        <v>30.5</v>
      </c>
      <c r="B34" s="79">
        <v>287</v>
      </c>
      <c r="C34" s="6">
        <v>292</v>
      </c>
      <c r="D34" s="79">
        <v>1002</v>
      </c>
      <c r="E34" s="6">
        <v>959</v>
      </c>
    </row>
    <row r="35" spans="1:5">
      <c r="A35" s="6">
        <v>31</v>
      </c>
      <c r="B35" s="79">
        <v>291</v>
      </c>
      <c r="C35" s="6">
        <v>296</v>
      </c>
      <c r="D35" s="79">
        <v>1014</v>
      </c>
      <c r="E35" s="6">
        <v>971</v>
      </c>
    </row>
    <row r="36" spans="1:5">
      <c r="A36" s="6">
        <v>31.5</v>
      </c>
      <c r="B36" s="79">
        <v>294</v>
      </c>
      <c r="C36" s="6">
        <v>300</v>
      </c>
      <c r="D36" s="79">
        <v>1027</v>
      </c>
      <c r="E36" s="6">
        <v>983</v>
      </c>
    </row>
    <row r="37" spans="1:5">
      <c r="A37" s="6">
        <v>32</v>
      </c>
      <c r="B37" s="79">
        <v>298</v>
      </c>
      <c r="C37" s="6">
        <v>304</v>
      </c>
      <c r="D37" s="79">
        <v>1039</v>
      </c>
      <c r="E37" s="6">
        <v>996</v>
      </c>
    </row>
    <row r="38" spans="1:5">
      <c r="A38" s="6">
        <v>32.5</v>
      </c>
      <c r="B38" s="79">
        <v>302</v>
      </c>
      <c r="C38" s="6">
        <v>308</v>
      </c>
      <c r="D38" s="79">
        <v>1052</v>
      </c>
      <c r="E38" s="6">
        <v>1008</v>
      </c>
    </row>
    <row r="39" spans="1:5">
      <c r="A39" s="6">
        <v>33</v>
      </c>
      <c r="B39" s="79">
        <v>306</v>
      </c>
      <c r="C39" s="6">
        <v>312</v>
      </c>
      <c r="D39" s="79">
        <v>1065</v>
      </c>
      <c r="E39" s="6">
        <v>1021</v>
      </c>
    </row>
    <row r="40" spans="1:5">
      <c r="A40" s="6">
        <v>33.5</v>
      </c>
      <c r="B40" s="79">
        <v>310</v>
      </c>
      <c r="C40" s="6">
        <v>316</v>
      </c>
      <c r="D40" s="79">
        <v>1078</v>
      </c>
      <c r="E40" s="6">
        <v>1034</v>
      </c>
    </row>
    <row r="41" spans="1:5">
      <c r="A41" s="6">
        <v>34</v>
      </c>
      <c r="B41" s="79">
        <v>314</v>
      </c>
      <c r="C41" s="6">
        <v>320</v>
      </c>
      <c r="D41" s="79">
        <v>1092</v>
      </c>
      <c r="E41" s="6">
        <v>1047</v>
      </c>
    </row>
    <row r="42" spans="1:5">
      <c r="A42" s="6">
        <v>34.5</v>
      </c>
      <c r="B42" s="79">
        <v>318</v>
      </c>
      <c r="C42" s="6">
        <v>324</v>
      </c>
      <c r="D42" s="79">
        <v>1105</v>
      </c>
      <c r="E42" s="6">
        <v>1060</v>
      </c>
    </row>
    <row r="43" spans="1:5">
      <c r="A43" s="6">
        <v>35</v>
      </c>
      <c r="B43" s="79">
        <v>323</v>
      </c>
      <c r="C43" s="6">
        <v>329</v>
      </c>
      <c r="D43" s="79">
        <v>1119</v>
      </c>
      <c r="E43" s="6">
        <v>1074</v>
      </c>
    </row>
    <row r="44" spans="1:5">
      <c r="A44" s="6">
        <v>35.5</v>
      </c>
      <c r="B44" s="79">
        <v>327</v>
      </c>
      <c r="C44" s="6">
        <v>333</v>
      </c>
      <c r="D44" s="79">
        <v>1133</v>
      </c>
      <c r="E44" s="6">
        <v>1087</v>
      </c>
    </row>
    <row r="45" spans="1:5">
      <c r="A45" s="6">
        <v>36</v>
      </c>
      <c r="B45" s="79">
        <v>332</v>
      </c>
      <c r="C45" s="6">
        <v>338</v>
      </c>
      <c r="D45" s="79">
        <v>1147</v>
      </c>
      <c r="E45" s="6">
        <v>1101</v>
      </c>
    </row>
    <row r="46" spans="1:5">
      <c r="A46" s="6">
        <v>36.5</v>
      </c>
      <c r="B46" s="79">
        <v>336</v>
      </c>
      <c r="C46" s="6">
        <v>342</v>
      </c>
      <c r="D46" s="79">
        <v>1162</v>
      </c>
      <c r="E46" s="6">
        <v>1116</v>
      </c>
    </row>
    <row r="47" spans="1:5">
      <c r="A47" s="6">
        <v>37</v>
      </c>
      <c r="B47" s="79">
        <v>341</v>
      </c>
      <c r="C47" s="6">
        <v>347</v>
      </c>
      <c r="D47" s="79">
        <v>1177</v>
      </c>
      <c r="E47" s="6">
        <v>1130</v>
      </c>
    </row>
    <row r="48" spans="1:5">
      <c r="A48" s="6">
        <v>37.5</v>
      </c>
      <c r="B48" s="79">
        <v>345</v>
      </c>
      <c r="C48" s="6">
        <v>352</v>
      </c>
      <c r="D48" s="79">
        <v>1192</v>
      </c>
      <c r="E48" s="6">
        <v>1145</v>
      </c>
    </row>
    <row r="49" spans="1:5">
      <c r="A49" s="6">
        <v>38</v>
      </c>
      <c r="B49" s="79">
        <v>350</v>
      </c>
      <c r="C49" s="6">
        <v>357</v>
      </c>
      <c r="D49" s="79">
        <v>1207</v>
      </c>
      <c r="E49" s="6">
        <v>1161</v>
      </c>
    </row>
    <row r="50" spans="1:5">
      <c r="A50" s="6">
        <v>38.5</v>
      </c>
      <c r="B50" s="79">
        <v>355</v>
      </c>
      <c r="C50" s="6">
        <v>362</v>
      </c>
      <c r="D50" s="79">
        <v>1222</v>
      </c>
      <c r="E50" s="6">
        <v>1176</v>
      </c>
    </row>
    <row r="51" spans="1:5">
      <c r="A51" s="6">
        <v>39</v>
      </c>
      <c r="B51" s="79">
        <v>360</v>
      </c>
      <c r="C51" s="6">
        <v>367</v>
      </c>
      <c r="D51" s="79">
        <v>1238</v>
      </c>
      <c r="E51" s="6">
        <v>1193</v>
      </c>
    </row>
    <row r="52" spans="1:5">
      <c r="A52" s="6">
        <v>39.5</v>
      </c>
      <c r="B52" s="79">
        <v>365</v>
      </c>
      <c r="C52" s="6">
        <v>372</v>
      </c>
      <c r="D52" s="79">
        <v>1254</v>
      </c>
      <c r="E52" s="6">
        <v>1209</v>
      </c>
    </row>
    <row r="53" spans="1:5">
      <c r="A53" s="6">
        <v>40</v>
      </c>
      <c r="B53" s="79">
        <v>370</v>
      </c>
      <c r="C53" s="6">
        <v>377</v>
      </c>
      <c r="D53" s="79">
        <v>1271</v>
      </c>
      <c r="E53" s="6">
        <v>1226</v>
      </c>
    </row>
    <row r="54" spans="1:5">
      <c r="A54" s="6">
        <v>40.5</v>
      </c>
      <c r="B54" s="79">
        <v>375</v>
      </c>
      <c r="C54" s="6">
        <v>382</v>
      </c>
      <c r="D54" s="79">
        <v>1288</v>
      </c>
      <c r="E54" s="6">
        <v>1244</v>
      </c>
    </row>
    <row r="55" spans="1:5">
      <c r="A55" s="6">
        <v>41</v>
      </c>
      <c r="B55" s="79">
        <v>380</v>
      </c>
      <c r="C55" s="6">
        <v>388</v>
      </c>
      <c r="D55" s="79">
        <v>1305</v>
      </c>
      <c r="E55" s="6">
        <v>1262</v>
      </c>
    </row>
    <row r="56" spans="1:5">
      <c r="A56" s="6">
        <v>41.5</v>
      </c>
      <c r="B56" s="79">
        <v>385</v>
      </c>
      <c r="C56" s="6">
        <v>393</v>
      </c>
      <c r="D56" s="79">
        <v>1322</v>
      </c>
      <c r="E56" s="6">
        <v>1280</v>
      </c>
    </row>
    <row r="57" spans="1:5">
      <c r="A57" s="6">
        <v>42</v>
      </c>
      <c r="B57" s="79">
        <v>391</v>
      </c>
      <c r="C57" s="6">
        <v>399</v>
      </c>
      <c r="D57" s="79">
        <v>1340</v>
      </c>
      <c r="E57" s="6">
        <v>1299</v>
      </c>
    </row>
    <row r="58" spans="1:5">
      <c r="A58" s="6">
        <v>42.5</v>
      </c>
      <c r="B58" s="79">
        <v>396</v>
      </c>
      <c r="C58" s="6">
        <v>405</v>
      </c>
      <c r="D58" s="79">
        <v>1359</v>
      </c>
      <c r="E58" s="6">
        <v>1319</v>
      </c>
    </row>
    <row r="59" spans="1:5">
      <c r="A59" s="6">
        <v>43</v>
      </c>
      <c r="B59" s="79">
        <v>401</v>
      </c>
      <c r="C59" s="6">
        <v>411</v>
      </c>
      <c r="D59" s="79">
        <v>1378</v>
      </c>
      <c r="E59" s="6">
        <v>1339</v>
      </c>
    </row>
    <row r="60" spans="1:5">
      <c r="A60" s="6">
        <v>43.5</v>
      </c>
      <c r="B60" s="79">
        <v>407</v>
      </c>
      <c r="C60" s="6">
        <v>417</v>
      </c>
      <c r="D60" s="79">
        <v>1397</v>
      </c>
      <c r="E60" s="6">
        <v>1361</v>
      </c>
    </row>
    <row r="61" spans="1:5">
      <c r="A61" s="6">
        <v>44</v>
      </c>
      <c r="B61" s="79">
        <v>413</v>
      </c>
      <c r="C61" s="6">
        <v>423</v>
      </c>
      <c r="D61" s="79">
        <v>1417</v>
      </c>
      <c r="E61" s="6">
        <v>1383</v>
      </c>
    </row>
    <row r="62" spans="1:5">
      <c r="A62" s="6">
        <v>44.5</v>
      </c>
      <c r="B62" s="79">
        <v>418</v>
      </c>
      <c r="C62" s="6">
        <v>429</v>
      </c>
      <c r="D62" s="79">
        <v>1438</v>
      </c>
      <c r="E62" s="6">
        <v>1405</v>
      </c>
    </row>
    <row r="63" spans="1:5">
      <c r="A63" s="6">
        <v>45</v>
      </c>
      <c r="B63" s="79">
        <v>424</v>
      </c>
      <c r="C63" s="6">
        <v>436</v>
      </c>
      <c r="D63" s="79">
        <v>1459</v>
      </c>
      <c r="E63" s="6">
        <v>1429</v>
      </c>
    </row>
    <row r="64" spans="1:5">
      <c r="A64" s="6">
        <v>45.5</v>
      </c>
      <c r="B64" s="79">
        <v>430</v>
      </c>
      <c r="C64" s="6">
        <v>443</v>
      </c>
      <c r="D64" s="79">
        <v>1481</v>
      </c>
      <c r="E64" s="6">
        <v>1453</v>
      </c>
    </row>
    <row r="65" spans="1:5">
      <c r="A65" s="6">
        <v>46</v>
      </c>
      <c r="B65" s="79">
        <v>436</v>
      </c>
      <c r="C65" s="6">
        <v>449</v>
      </c>
      <c r="D65" s="79">
        <v>1503</v>
      </c>
      <c r="E65" s="6">
        <v>1479</v>
      </c>
    </row>
    <row r="66" spans="1:5">
      <c r="A66" s="6">
        <v>46.5</v>
      </c>
      <c r="B66" s="79">
        <v>442</v>
      </c>
      <c r="C66" s="6">
        <v>456</v>
      </c>
      <c r="D66" s="79">
        <v>1526</v>
      </c>
      <c r="E66" s="6">
        <v>1505</v>
      </c>
    </row>
    <row r="67" spans="1:5">
      <c r="A67" s="6">
        <v>47</v>
      </c>
      <c r="B67" s="79">
        <v>449</v>
      </c>
      <c r="C67" s="6">
        <v>463</v>
      </c>
      <c r="D67" s="79">
        <v>1550</v>
      </c>
      <c r="E67" s="6">
        <v>1533</v>
      </c>
    </row>
    <row r="68" spans="1:5">
      <c r="A68" s="6">
        <v>47.5</v>
      </c>
      <c r="B68" s="79">
        <v>455</v>
      </c>
      <c r="C68" s="6">
        <v>470</v>
      </c>
      <c r="D68" s="79">
        <v>1575</v>
      </c>
      <c r="E68" s="6">
        <v>1562</v>
      </c>
    </row>
    <row r="69" spans="1:5">
      <c r="A69" s="6">
        <v>48</v>
      </c>
      <c r="B69" s="79">
        <v>461</v>
      </c>
      <c r="C69" s="6">
        <v>478</v>
      </c>
      <c r="D69" s="79">
        <v>1600</v>
      </c>
      <c r="E69" s="6">
        <v>1592</v>
      </c>
    </row>
    <row r="70" spans="1:5">
      <c r="A70" s="6">
        <v>48.5</v>
      </c>
      <c r="B70" s="79">
        <v>468</v>
      </c>
      <c r="C70" s="6">
        <v>485</v>
      </c>
      <c r="D70" s="79">
        <v>1626</v>
      </c>
      <c r="E70" s="6">
        <v>1623</v>
      </c>
    </row>
    <row r="71" spans="1:5">
      <c r="A71" s="6">
        <v>49</v>
      </c>
      <c r="B71" s="79">
        <v>474</v>
      </c>
      <c r="C71" s="6">
        <v>493</v>
      </c>
      <c r="D71" s="79">
        <v>1653</v>
      </c>
      <c r="E71" s="6">
        <v>1655</v>
      </c>
    </row>
    <row r="72" spans="1:5">
      <c r="A72" s="6">
        <v>49.5</v>
      </c>
      <c r="B72" s="79">
        <v>481</v>
      </c>
      <c r="C72" s="6">
        <v>501</v>
      </c>
      <c r="D72" s="79">
        <v>1681</v>
      </c>
      <c r="E72" s="6">
        <v>1689</v>
      </c>
    </row>
    <row r="73" spans="1:5">
      <c r="A73" s="6">
        <v>50</v>
      </c>
      <c r="B73" s="79">
        <v>488</v>
      </c>
      <c r="C73" s="6">
        <v>509</v>
      </c>
      <c r="D73" s="79">
        <v>1710</v>
      </c>
      <c r="E73" s="6">
        <v>1725</v>
      </c>
    </row>
    <row r="74" spans="1:5">
      <c r="A74" s="6">
        <v>50.5</v>
      </c>
      <c r="B74" s="79">
        <v>494</v>
      </c>
      <c r="C74" s="6">
        <v>517</v>
      </c>
      <c r="D74" s="79"/>
      <c r="E74" s="6"/>
    </row>
    <row r="75" spans="1:5">
      <c r="A75" s="6">
        <v>51</v>
      </c>
      <c r="B75" s="79">
        <v>501</v>
      </c>
      <c r="C75" s="6">
        <v>525</v>
      </c>
      <c r="D75" s="79"/>
      <c r="E75" s="6"/>
    </row>
    <row r="76" spans="1:5">
      <c r="A76" s="6">
        <v>51.5</v>
      </c>
      <c r="B76" s="79"/>
      <c r="C76" s="6">
        <v>534</v>
      </c>
      <c r="D76" s="79"/>
      <c r="E76" s="6"/>
    </row>
    <row r="77" spans="1:5">
      <c r="A77" s="6">
        <v>52</v>
      </c>
      <c r="B77" s="79"/>
      <c r="C77" s="6">
        <v>543</v>
      </c>
      <c r="D77" s="79"/>
      <c r="E77" s="6"/>
    </row>
    <row r="78" spans="1:5">
      <c r="A78" s="6">
        <v>52.5</v>
      </c>
      <c r="B78" s="79"/>
      <c r="C78" s="6">
        <v>551</v>
      </c>
      <c r="D78" s="79"/>
      <c r="E78" s="6"/>
    </row>
    <row r="79" spans="1:5">
      <c r="A79" s="6">
        <v>53</v>
      </c>
      <c r="B79" s="79"/>
      <c r="C79" s="6">
        <v>561</v>
      </c>
      <c r="D79" s="79"/>
      <c r="E79" s="6"/>
    </row>
    <row r="80" spans="1:5">
      <c r="A80" s="6">
        <v>53.5</v>
      </c>
      <c r="B80" s="79"/>
      <c r="C80" s="6">
        <v>570</v>
      </c>
      <c r="D80" s="79"/>
      <c r="E80" s="6"/>
    </row>
    <row r="81" spans="1:5">
      <c r="A81" s="6">
        <v>54</v>
      </c>
      <c r="B81" s="79"/>
      <c r="C81" s="6">
        <v>579</v>
      </c>
      <c r="D81" s="79"/>
      <c r="E81" s="6"/>
    </row>
    <row r="82" spans="1:5">
      <c r="A82" s="6">
        <v>54.5</v>
      </c>
      <c r="B82" s="79"/>
      <c r="C82" s="6">
        <v>589</v>
      </c>
      <c r="D82" s="79"/>
      <c r="E82" s="6"/>
    </row>
    <row r="83" spans="1:5">
      <c r="A83" s="6">
        <v>55</v>
      </c>
      <c r="B83" s="79"/>
      <c r="C83" s="6">
        <v>599</v>
      </c>
      <c r="D83" s="79"/>
      <c r="E83" s="6"/>
    </row>
    <row r="84" spans="1:5">
      <c r="A84" s="6">
        <v>55.5</v>
      </c>
      <c r="B84" s="79"/>
      <c r="C84" s="6">
        <v>609</v>
      </c>
      <c r="D84" s="79"/>
      <c r="E84" s="6"/>
    </row>
    <row r="85" spans="1:5">
      <c r="A85" s="6">
        <v>56</v>
      </c>
      <c r="B85" s="79"/>
      <c r="C85" s="6">
        <v>620</v>
      </c>
      <c r="D85" s="79"/>
      <c r="E85" s="6"/>
    </row>
    <row r="86" spans="1:5">
      <c r="A86" s="6">
        <v>56.5</v>
      </c>
      <c r="B86" s="79"/>
      <c r="C86" s="6">
        <v>631</v>
      </c>
      <c r="D86" s="79"/>
      <c r="E86" s="6"/>
    </row>
    <row r="87" spans="1:5">
      <c r="A87" s="6">
        <v>57</v>
      </c>
      <c r="B87" s="79"/>
      <c r="C87" s="6">
        <v>642</v>
      </c>
      <c r="D87" s="79"/>
      <c r="E87" s="6"/>
    </row>
    <row r="88" spans="1:5">
      <c r="A88" s="6">
        <v>57.5</v>
      </c>
      <c r="B88" s="79"/>
      <c r="C88" s="6">
        <v>653</v>
      </c>
      <c r="D88" s="79"/>
      <c r="E88" s="6"/>
    </row>
    <row r="89" spans="1:5">
      <c r="A89" s="6">
        <v>58</v>
      </c>
      <c r="B89" s="79"/>
      <c r="C89" s="6">
        <v>664</v>
      </c>
      <c r="D89" s="79"/>
      <c r="E89" s="6"/>
    </row>
    <row r="90" spans="1:5">
      <c r="A90" s="6">
        <v>58.5</v>
      </c>
      <c r="B90" s="79"/>
      <c r="C90" s="6">
        <v>676</v>
      </c>
      <c r="D90" s="79"/>
      <c r="E90" s="6"/>
    </row>
    <row r="91" spans="1:5">
      <c r="A91" s="6">
        <v>59</v>
      </c>
      <c r="B91" s="79"/>
      <c r="C91" s="6">
        <v>688</v>
      </c>
      <c r="D91" s="79"/>
      <c r="E91" s="6"/>
    </row>
    <row r="92" spans="1:5">
      <c r="A92" s="6">
        <v>59.5</v>
      </c>
      <c r="B92" s="79"/>
      <c r="C92" s="6">
        <v>700</v>
      </c>
      <c r="D92" s="79"/>
      <c r="E92" s="6"/>
    </row>
    <row r="93" spans="1:5">
      <c r="A93" s="6">
        <v>60</v>
      </c>
      <c r="B93" s="79"/>
      <c r="C93" s="6">
        <v>713</v>
      </c>
      <c r="D93" s="79"/>
      <c r="E93" s="6"/>
    </row>
    <row r="94" spans="1:5">
      <c r="A94" s="6">
        <v>60.5</v>
      </c>
      <c r="B94" s="79"/>
      <c r="C94" s="6">
        <v>726</v>
      </c>
      <c r="D94" s="79"/>
      <c r="E94" s="6"/>
    </row>
    <row r="95" spans="1:5">
      <c r="A95" s="6">
        <v>61</v>
      </c>
      <c r="B95" s="79"/>
      <c r="C95" s="6">
        <v>739</v>
      </c>
      <c r="D95" s="79"/>
      <c r="E95" s="6"/>
    </row>
    <row r="96" spans="1:5">
      <c r="A96" s="6">
        <v>61.5</v>
      </c>
      <c r="B96" s="79"/>
      <c r="C96" s="6">
        <v>752</v>
      </c>
      <c r="D96" s="79"/>
      <c r="E96" s="6"/>
    </row>
    <row r="97" spans="1:5">
      <c r="A97" s="6">
        <v>62</v>
      </c>
      <c r="B97" s="79"/>
      <c r="C97" s="6">
        <v>766</v>
      </c>
      <c r="D97" s="79"/>
      <c r="E97" s="6"/>
    </row>
    <row r="98" spans="1:5">
      <c r="A98" s="6">
        <v>62.5</v>
      </c>
      <c r="B98" s="79"/>
      <c r="C98" s="6">
        <v>780</v>
      </c>
      <c r="D98" s="79"/>
      <c r="E98" s="6"/>
    </row>
    <row r="99" spans="1:5">
      <c r="A99" s="6">
        <v>63</v>
      </c>
      <c r="B99" s="79"/>
      <c r="C99" s="6">
        <v>795</v>
      </c>
      <c r="D99" s="79"/>
      <c r="E99" s="6"/>
    </row>
    <row r="100" spans="1:5">
      <c r="A100" s="6">
        <v>63.5</v>
      </c>
      <c r="B100" s="79"/>
      <c r="C100" s="6">
        <v>810</v>
      </c>
      <c r="D100" s="79"/>
      <c r="E100" s="6"/>
    </row>
    <row r="101" spans="1:5">
      <c r="A101" s="6">
        <v>64</v>
      </c>
      <c r="B101" s="79"/>
      <c r="C101" s="6">
        <v>825</v>
      </c>
      <c r="D101" s="79"/>
      <c r="E101" s="6"/>
    </row>
    <row r="102" spans="1:5">
      <c r="A102" s="6">
        <v>64.5</v>
      </c>
      <c r="B102" s="79"/>
      <c r="C102" s="6">
        <v>840</v>
      </c>
      <c r="D102" s="79"/>
      <c r="E102" s="6"/>
    </row>
    <row r="103" spans="1:5">
      <c r="A103" s="6">
        <v>65</v>
      </c>
      <c r="B103" s="79"/>
      <c r="C103" s="6">
        <v>856</v>
      </c>
      <c r="D103" s="79"/>
      <c r="E103" s="6"/>
    </row>
    <row r="104" spans="1:5">
      <c r="A104" s="6">
        <v>65.5</v>
      </c>
      <c r="B104" s="79"/>
      <c r="C104" s="6">
        <v>872</v>
      </c>
      <c r="D104" s="79"/>
      <c r="E104" s="6"/>
    </row>
    <row r="105" spans="1:5">
      <c r="A105" s="6">
        <v>66</v>
      </c>
      <c r="B105" s="79"/>
      <c r="C105" s="6">
        <v>889</v>
      </c>
      <c r="D105" s="79"/>
      <c r="E105" s="6"/>
    </row>
    <row r="106" spans="1:5">
      <c r="A106" s="6">
        <v>66.5</v>
      </c>
      <c r="B106" s="79"/>
      <c r="C106" s="6">
        <v>906</v>
      </c>
      <c r="D106" s="79"/>
      <c r="E106" s="6"/>
    </row>
    <row r="107" spans="1:5">
      <c r="A107" s="6">
        <v>67</v>
      </c>
      <c r="B107" s="79"/>
      <c r="C107" s="6">
        <v>923</v>
      </c>
      <c r="D107" s="79"/>
      <c r="E107" s="6"/>
    </row>
    <row r="108" spans="1:5">
      <c r="A108" s="6">
        <v>67.5</v>
      </c>
      <c r="B108" s="79"/>
      <c r="C108" s="6">
        <v>941</v>
      </c>
      <c r="D108" s="79"/>
      <c r="E108" s="6"/>
    </row>
    <row r="109" spans="1:5">
      <c r="A109" s="6">
        <v>68</v>
      </c>
      <c r="B109" s="79"/>
      <c r="C109" s="6">
        <v>959</v>
      </c>
      <c r="D109" s="79"/>
      <c r="E109" s="6"/>
    </row>
    <row r="110" spans="1:5">
      <c r="A110" s="6">
        <v>68.5</v>
      </c>
      <c r="B110" s="79"/>
      <c r="C110" s="6">
        <v>978</v>
      </c>
      <c r="D110" s="79"/>
      <c r="E110" s="6"/>
    </row>
    <row r="111" spans="1:5">
      <c r="A111" s="6">
        <v>69</v>
      </c>
      <c r="B111" s="79"/>
      <c r="C111" s="6">
        <v>997</v>
      </c>
      <c r="D111" s="79"/>
      <c r="E111" s="6"/>
    </row>
    <row r="112" spans="1:5">
      <c r="A112" s="6">
        <v>69.5</v>
      </c>
      <c r="B112" s="79"/>
      <c r="C112" s="6">
        <v>1017</v>
      </c>
      <c r="D112" s="79"/>
      <c r="E112" s="6"/>
    </row>
    <row r="113" spans="1:5">
      <c r="A113" s="6">
        <v>70</v>
      </c>
      <c r="B113" s="79"/>
      <c r="C113" s="6">
        <v>1037</v>
      </c>
      <c r="D113" s="79"/>
      <c r="E113" s="6"/>
    </row>
  </sheetData>
  <customSheetViews>
    <customSheetView guid="{27B96A40-A6B2-43F7-A93C-713F4207CB2A}">
      <selection activeCell="Q21" sqref="Q21"/>
      <pageMargins left="0.7" right="0.7" top="0.75" bottom="0.75" header="0.3" footer="0.3"/>
      <pageSetup paperSize="9" orientation="portrait"/>
      <headerFooter/>
    </customSheetView>
  </customSheetViews>
  <mergeCells count="2">
    <mergeCell ref="A1:F1"/>
    <mergeCell ref="A2:A3"/>
  </mergeCells>
  <pageMargins left="0.7" right="0.7" top="0.75" bottom="0.75" header="0.3" footer="0.3"/>
  <pageSetup paperSize="9" orientation="portrait"/>
  <headerFooter/>
  <drawing r:id="rId1"/>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86"/>
  <sheetViews>
    <sheetView workbookViewId="0">
      <selection activeCell="A1" sqref="A1:F1"/>
    </sheetView>
  </sheetViews>
  <sheetFormatPr defaultColWidth="9" defaultRowHeight="13.8"/>
  <cols>
    <col min="1" max="1" width="6.625" customWidth="1"/>
    <col min="2" max="3" width="7.375" customWidth="1"/>
    <col min="5" max="5" width="10.125" customWidth="1"/>
  </cols>
  <sheetData>
    <row r="1" ht="21.95" customHeight="1" spans="1:6">
      <c r="A1" s="67" t="s">
        <v>47</v>
      </c>
      <c r="B1" s="68"/>
      <c r="C1" s="68"/>
      <c r="D1" s="68"/>
      <c r="E1" s="68"/>
      <c r="F1" s="68"/>
    </row>
    <row r="2" ht="14.25" customHeight="1" spans="1:2">
      <c r="A2" s="69" t="s">
        <v>2531</v>
      </c>
      <c r="B2" s="69"/>
    </row>
    <row r="3" ht="22.5" customHeight="1"/>
    <row r="27" ht="14.4" spans="1:1">
      <c r="A27" s="69" t="s">
        <v>2532</v>
      </c>
    </row>
    <row r="40" ht="14.4" spans="11:11">
      <c r="K40" t="s">
        <v>2533</v>
      </c>
    </row>
    <row r="53" ht="14.4" spans="1:1">
      <c r="A53" s="69" t="s">
        <v>2534</v>
      </c>
    </row>
    <row r="86" ht="14.4" spans="1:1">
      <c r="A86" t="s">
        <v>2535</v>
      </c>
    </row>
  </sheetData>
  <customSheetViews>
    <customSheetView guid="{27B96A40-A6B2-43F7-A93C-713F4207CB2A}">
      <selection activeCell="O21" sqref="O21"/>
      <pageMargins left="0.7" right="0.7" top="0.75" bottom="0.75" header="0.3" footer="0.3"/>
      <pageSetup paperSize="9" orientation="portrait"/>
      <headerFooter/>
    </customSheetView>
  </customSheetViews>
  <mergeCells count="1">
    <mergeCell ref="A1:F1"/>
  </mergeCells>
  <pageMargins left="0.7" right="0.7" top="0.75" bottom="0.75" header="0.3" footer="0.3"/>
  <pageSetup paperSize="9" orientation="portrait"/>
  <headerFooter/>
  <drawing r:id="rId1"/>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85"/>
  <sheetViews>
    <sheetView workbookViewId="0">
      <selection activeCell="C25" sqref="C25"/>
    </sheetView>
  </sheetViews>
  <sheetFormatPr defaultColWidth="9" defaultRowHeight="13.8" outlineLevelCol="5"/>
  <cols>
    <col min="1" max="1" width="18.875" style="47" customWidth="1"/>
    <col min="2" max="2" width="11.875" style="47" customWidth="1"/>
    <col min="3" max="3" width="16.125" style="47" customWidth="1"/>
    <col min="4" max="4" width="13.625" style="47" customWidth="1"/>
    <col min="5" max="16384" width="9" style="47"/>
  </cols>
  <sheetData>
    <row r="1" ht="21.95" customHeight="1" spans="1:6">
      <c r="A1" s="48" t="s">
        <v>2536</v>
      </c>
      <c r="B1" s="48"/>
      <c r="C1" s="48"/>
      <c r="D1" s="48"/>
      <c r="E1" s="49"/>
      <c r="F1" s="50"/>
    </row>
    <row r="2" ht="17.4" spans="1:6">
      <c r="A2" s="51" t="s">
        <v>2537</v>
      </c>
      <c r="B2" s="51" t="s">
        <v>2538</v>
      </c>
      <c r="C2" s="51" t="s">
        <v>159</v>
      </c>
      <c r="D2" s="51" t="s">
        <v>65</v>
      </c>
      <c r="E2" s="50"/>
      <c r="F2" s="50"/>
    </row>
    <row r="3" ht="17.4" spans="1:6">
      <c r="A3" s="52" t="s">
        <v>2539</v>
      </c>
      <c r="B3" s="53" t="s">
        <v>2540</v>
      </c>
      <c r="C3" s="54">
        <v>0.0893423</v>
      </c>
      <c r="D3" s="55" t="s">
        <v>2541</v>
      </c>
      <c r="E3" s="50"/>
      <c r="F3" s="56"/>
    </row>
    <row r="4" ht="17.4" spans="1:6">
      <c r="A4" s="52" t="s">
        <v>2542</v>
      </c>
      <c r="B4" s="53" t="s">
        <v>2543</v>
      </c>
      <c r="C4" s="57">
        <v>35.0000002716225</v>
      </c>
      <c r="D4" s="55"/>
      <c r="E4" s="56"/>
      <c r="F4" s="50"/>
    </row>
    <row r="5" ht="17.4" spans="1:6">
      <c r="A5" s="58" t="s">
        <v>2544</v>
      </c>
      <c r="B5" s="53" t="s">
        <v>2545</v>
      </c>
      <c r="C5" s="59">
        <v>35.00000027</v>
      </c>
      <c r="D5" s="60" t="s">
        <v>2546</v>
      </c>
      <c r="E5" s="50"/>
      <c r="F5" s="50"/>
    </row>
    <row r="6" ht="17.4" spans="1:6">
      <c r="A6" s="58"/>
      <c r="B6" s="53" t="s">
        <v>2547</v>
      </c>
      <c r="C6" s="61">
        <v>0.0893423023221345</v>
      </c>
      <c r="D6" s="60"/>
      <c r="E6" s="50"/>
      <c r="F6" s="50"/>
    </row>
    <row r="7" ht="17.4" spans="1:6">
      <c r="A7" s="58"/>
      <c r="B7" s="53" t="s">
        <v>2548</v>
      </c>
      <c r="C7" s="62">
        <v>2.32213447082241e-9</v>
      </c>
      <c r="D7" s="60"/>
      <c r="E7" s="50"/>
      <c r="F7" s="50"/>
    </row>
    <row r="8" ht="14.25" customHeight="1" spans="1:6">
      <c r="A8" s="63" t="s">
        <v>2549</v>
      </c>
      <c r="B8" s="63"/>
      <c r="C8" s="63"/>
      <c r="D8" s="63"/>
      <c r="E8" s="50"/>
      <c r="F8" s="50"/>
    </row>
    <row r="9" ht="14.25" customHeight="1" spans="1:6">
      <c r="A9" s="63"/>
      <c r="B9" s="63"/>
      <c r="C9" s="63"/>
      <c r="D9" s="63"/>
      <c r="E9" s="50"/>
      <c r="F9" s="50"/>
    </row>
    <row r="10" ht="14.25" customHeight="1" spans="1:6">
      <c r="A10" s="63"/>
      <c r="B10" s="63"/>
      <c r="C10" s="63"/>
      <c r="D10" s="63"/>
      <c r="E10" s="50"/>
      <c r="F10" s="50"/>
    </row>
    <row r="11" ht="14.25" customHeight="1" spans="1:6">
      <c r="A11" s="63"/>
      <c r="B11" s="63"/>
      <c r="C11" s="63"/>
      <c r="D11" s="63"/>
      <c r="E11" s="50"/>
      <c r="F11" s="50"/>
    </row>
    <row r="12" ht="14.25" customHeight="1" spans="1:6">
      <c r="A12" s="63"/>
      <c r="B12" s="63"/>
      <c r="C12" s="63"/>
      <c r="D12" s="63"/>
      <c r="E12" s="50"/>
      <c r="F12" s="50"/>
    </row>
    <row r="13" ht="14.25" customHeight="1" spans="1:6">
      <c r="A13" s="63"/>
      <c r="B13" s="63"/>
      <c r="C13" s="63"/>
      <c r="D13" s="63"/>
      <c r="E13" s="50"/>
      <c r="F13" s="50"/>
    </row>
    <row r="14" ht="14.25" customHeight="1" spans="1:6">
      <c r="A14" s="63"/>
      <c r="B14" s="63"/>
      <c r="C14" s="63"/>
      <c r="D14" s="63"/>
      <c r="E14" s="50"/>
      <c r="F14" s="50"/>
    </row>
    <row r="15" ht="14.25" customHeight="1" spans="1:6">
      <c r="A15" s="63"/>
      <c r="B15" s="63"/>
      <c r="C15" s="63"/>
      <c r="D15" s="63"/>
      <c r="E15" s="50"/>
      <c r="F15" s="50"/>
    </row>
    <row r="16" ht="14.25" customHeight="1" spans="1:6">
      <c r="A16" s="63"/>
      <c r="B16" s="63"/>
      <c r="C16" s="63"/>
      <c r="D16" s="63"/>
      <c r="E16" s="50"/>
      <c r="F16" s="50"/>
    </row>
    <row r="17" ht="14.25" customHeight="1" spans="1:4">
      <c r="A17" s="63"/>
      <c r="B17" s="63"/>
      <c r="C17" s="63"/>
      <c r="D17" s="63"/>
    </row>
    <row r="18" ht="14.25" customHeight="1" spans="1:4">
      <c r="A18" s="63" t="s">
        <v>2550</v>
      </c>
      <c r="B18" s="63"/>
      <c r="C18" s="63"/>
      <c r="D18" s="63"/>
    </row>
    <row r="19" ht="14.25" customHeight="1" spans="1:4">
      <c r="A19" s="63"/>
      <c r="B19" s="63"/>
      <c r="C19" s="63"/>
      <c r="D19" s="63"/>
    </row>
    <row r="20" ht="14.25" customHeight="1" spans="1:4">
      <c r="A20" s="63"/>
      <c r="B20" s="63"/>
      <c r="C20" s="63"/>
      <c r="D20" s="63"/>
    </row>
    <row r="21" ht="14.25" customHeight="1" spans="1:4">
      <c r="A21" s="63"/>
      <c r="B21" s="63"/>
      <c r="C21" s="63"/>
      <c r="D21" s="63"/>
    </row>
    <row r="22" ht="14.25" customHeight="1" spans="1:4">
      <c r="A22" s="63"/>
      <c r="B22" s="63"/>
      <c r="C22" s="63"/>
      <c r="D22" s="63"/>
    </row>
    <row r="23" ht="14.25" customHeight="1" spans="1:4">
      <c r="A23" s="64"/>
      <c r="B23" s="65"/>
      <c r="C23" s="65"/>
      <c r="D23" s="65"/>
    </row>
    <row r="24" ht="14.25" customHeight="1" spans="1:4">
      <c r="A24" s="64"/>
      <c r="B24" s="65"/>
      <c r="C24" s="65"/>
      <c r="D24" s="65"/>
    </row>
    <row r="25" ht="14.25" customHeight="1" spans="1:4">
      <c r="A25" s="64"/>
      <c r="B25" s="65"/>
      <c r="C25" s="65"/>
      <c r="D25" s="65"/>
    </row>
    <row r="28" ht="15.6" spans="1:3">
      <c r="A28" s="50"/>
      <c r="B28" s="66"/>
      <c r="C28" s="50"/>
    </row>
    <row r="29" ht="15.6" spans="1:3">
      <c r="A29" s="50"/>
      <c r="B29" s="66"/>
      <c r="C29" s="50"/>
    </row>
    <row r="30" ht="15.6" spans="1:3">
      <c r="A30" s="50"/>
      <c r="B30" s="66"/>
      <c r="C30" s="50"/>
    </row>
    <row r="31" ht="15.6" spans="1:3">
      <c r="A31" s="50" t="s">
        <v>2551</v>
      </c>
      <c r="B31" s="66"/>
      <c r="C31" s="50"/>
    </row>
    <row r="32" ht="15.6" spans="1:3">
      <c r="A32" s="50"/>
      <c r="B32" s="66"/>
      <c r="C32" s="50"/>
    </row>
    <row r="33" ht="15.6" spans="2:2">
      <c r="B33" s="66"/>
    </row>
    <row r="34" ht="15.6" spans="2:2">
      <c r="B34" s="66"/>
    </row>
    <row r="35" ht="15.6" spans="2:2">
      <c r="B35" s="66"/>
    </row>
    <row r="36" ht="15.6" spans="2:2">
      <c r="B36" s="66"/>
    </row>
    <row r="37" ht="15.6" spans="2:2">
      <c r="B37" s="66"/>
    </row>
    <row r="38" ht="15.6" spans="2:2">
      <c r="B38" s="66"/>
    </row>
    <row r="39" ht="15.6" spans="2:2">
      <c r="B39" s="66"/>
    </row>
    <row r="40" ht="15.6" spans="2:2">
      <c r="B40" s="66"/>
    </row>
    <row r="41" ht="15.6" spans="2:2">
      <c r="B41" s="66"/>
    </row>
    <row r="42" ht="15.6" spans="2:2">
      <c r="B42" s="66"/>
    </row>
    <row r="43" ht="15.6" spans="2:2">
      <c r="B43" s="66"/>
    </row>
    <row r="44" ht="15.6" spans="2:2">
      <c r="B44" s="66"/>
    </row>
    <row r="45" ht="15.6" spans="2:2">
      <c r="B45" s="66"/>
    </row>
    <row r="46" ht="15.6" spans="2:2">
      <c r="B46" s="66"/>
    </row>
    <row r="47" ht="15.6" spans="2:2">
      <c r="B47" s="66"/>
    </row>
    <row r="48" ht="15.6" spans="2:2">
      <c r="B48" s="66"/>
    </row>
    <row r="49" ht="15.6" spans="2:2">
      <c r="B49" s="66"/>
    </row>
    <row r="50" ht="15.6" spans="2:2">
      <c r="B50" s="66"/>
    </row>
    <row r="51" ht="15.6" spans="2:2">
      <c r="B51" s="66"/>
    </row>
    <row r="52" ht="15.6" spans="2:2">
      <c r="B52" s="66"/>
    </row>
    <row r="53" ht="15.6" spans="2:2">
      <c r="B53" s="66"/>
    </row>
    <row r="54" ht="15.6" spans="2:2">
      <c r="B54" s="66"/>
    </row>
    <row r="55" ht="15.6" spans="2:2">
      <c r="B55" s="66"/>
    </row>
    <row r="56" ht="15.6" spans="2:2">
      <c r="B56" s="66"/>
    </row>
    <row r="57" ht="15.6" spans="2:2">
      <c r="B57" s="66"/>
    </row>
    <row r="58" ht="15.6" spans="2:2">
      <c r="B58" s="66"/>
    </row>
    <row r="59" ht="15.6" spans="2:2">
      <c r="B59" s="66"/>
    </row>
    <row r="60" ht="15.6" spans="2:2">
      <c r="B60" s="66"/>
    </row>
    <row r="61" ht="15.6" spans="2:2">
      <c r="B61" s="66"/>
    </row>
    <row r="62" ht="15.6" spans="2:2">
      <c r="B62" s="66"/>
    </row>
    <row r="63" ht="15.6" spans="2:2">
      <c r="B63" s="66"/>
    </row>
    <row r="64" ht="15.6" spans="2:2">
      <c r="B64" s="66"/>
    </row>
    <row r="65" ht="15.6" spans="2:2">
      <c r="B65" s="66"/>
    </row>
    <row r="66" ht="15.6" spans="2:2">
      <c r="B66" s="66"/>
    </row>
    <row r="67" ht="15.6" spans="2:2">
      <c r="B67" s="66"/>
    </row>
    <row r="68" ht="15.6" spans="2:2">
      <c r="B68" s="66"/>
    </row>
    <row r="69" ht="15.6" spans="2:2">
      <c r="B69" s="66"/>
    </row>
    <row r="70" ht="15.6" spans="2:2">
      <c r="B70" s="66"/>
    </row>
    <row r="71" ht="15.6" spans="2:2">
      <c r="B71" s="66"/>
    </row>
    <row r="72" ht="15.6" spans="2:2">
      <c r="B72" s="66"/>
    </row>
    <row r="73" ht="15.6" spans="2:2">
      <c r="B73" s="66"/>
    </row>
    <row r="74" ht="15.6" spans="2:2">
      <c r="B74" s="66"/>
    </row>
    <row r="75" ht="15.6" spans="2:2">
      <c r="B75" s="66"/>
    </row>
    <row r="76" ht="15.6" spans="2:2">
      <c r="B76" s="66"/>
    </row>
    <row r="77" ht="15.6" spans="2:2">
      <c r="B77" s="66"/>
    </row>
    <row r="78" ht="15.6" spans="2:2">
      <c r="B78" s="66"/>
    </row>
    <row r="79" ht="15.6" spans="2:2">
      <c r="B79" s="66"/>
    </row>
    <row r="80" ht="15.6" spans="2:2">
      <c r="B80" s="66"/>
    </row>
    <row r="81" ht="15.6" spans="2:2">
      <c r="B81" s="66"/>
    </row>
    <row r="82" ht="15.6" spans="2:2">
      <c r="B82" s="66"/>
    </row>
    <row r="83" ht="15.6" spans="2:2">
      <c r="B83" s="66"/>
    </row>
    <row r="84" ht="15.6" spans="2:2">
      <c r="B84" s="66"/>
    </row>
    <row r="85" ht="15.6" spans="2:2">
      <c r="B85" s="66"/>
    </row>
    <row r="86" ht="15.6" spans="2:2">
      <c r="B86" s="66"/>
    </row>
    <row r="87" ht="15.6" spans="2:2">
      <c r="B87" s="66"/>
    </row>
    <row r="88" ht="15.6" spans="2:2">
      <c r="B88" s="66"/>
    </row>
    <row r="89" ht="15.6" spans="2:2">
      <c r="B89" s="66"/>
    </row>
    <row r="90" ht="15.6" spans="2:2">
      <c r="B90" s="66"/>
    </row>
    <row r="91" ht="15.6" spans="2:2">
      <c r="B91" s="66"/>
    </row>
    <row r="92" ht="15.6" spans="2:2">
      <c r="B92" s="66"/>
    </row>
    <row r="93" ht="15.6" spans="2:2">
      <c r="B93" s="66"/>
    </row>
    <row r="94" ht="15.6" spans="2:2">
      <c r="B94" s="66"/>
    </row>
    <row r="95" ht="15.6" spans="2:2">
      <c r="B95" s="66"/>
    </row>
    <row r="96" ht="15.6" spans="2:2">
      <c r="B96" s="66"/>
    </row>
    <row r="97" ht="15.6" spans="2:2">
      <c r="B97" s="66"/>
    </row>
    <row r="98" ht="15.6" spans="2:2">
      <c r="B98" s="66"/>
    </row>
    <row r="99" ht="15.6" spans="2:2">
      <c r="B99" s="66"/>
    </row>
    <row r="100" ht="15.6" spans="2:2">
      <c r="B100" s="66"/>
    </row>
    <row r="101" ht="15.6" spans="2:2">
      <c r="B101" s="66"/>
    </row>
    <row r="102" ht="15.6" spans="2:2">
      <c r="B102" s="66"/>
    </row>
    <row r="103" ht="15.6" spans="2:2">
      <c r="B103" s="66"/>
    </row>
    <row r="104" ht="15.6" spans="2:2">
      <c r="B104" s="66"/>
    </row>
    <row r="105" ht="15.6" spans="2:2">
      <c r="B105" s="66"/>
    </row>
    <row r="106" ht="15.6" spans="2:2">
      <c r="B106" s="66"/>
    </row>
    <row r="107" ht="15.6" spans="2:2">
      <c r="B107" s="66"/>
    </row>
    <row r="108" ht="15.6" spans="2:2">
      <c r="B108" s="66"/>
    </row>
    <row r="109" ht="15.6" spans="2:2">
      <c r="B109" s="66"/>
    </row>
    <row r="110" ht="15.6" spans="2:2">
      <c r="B110" s="66"/>
    </row>
    <row r="111" ht="15.6" spans="2:2">
      <c r="B111" s="66"/>
    </row>
    <row r="112" ht="15.6" spans="2:2">
      <c r="B112" s="66"/>
    </row>
    <row r="113" ht="15.6" spans="2:2">
      <c r="B113" s="66"/>
    </row>
    <row r="114" ht="15.6" spans="2:2">
      <c r="B114" s="66"/>
    </row>
    <row r="115" ht="15.6" spans="2:2">
      <c r="B115" s="66"/>
    </row>
    <row r="116" ht="15.6" spans="2:2">
      <c r="B116" s="66"/>
    </row>
    <row r="117" ht="15.6" spans="2:2">
      <c r="B117" s="66"/>
    </row>
    <row r="118" ht="15.6" spans="2:2">
      <c r="B118" s="66"/>
    </row>
    <row r="119" ht="15.6" spans="2:2">
      <c r="B119" s="66"/>
    </row>
    <row r="120" ht="15.6" spans="2:2">
      <c r="B120" s="66"/>
    </row>
    <row r="121" ht="15.6" spans="2:2">
      <c r="B121" s="66"/>
    </row>
    <row r="122" ht="15.6" spans="2:2">
      <c r="B122" s="66"/>
    </row>
    <row r="123" ht="15.6" spans="2:2">
      <c r="B123" s="66"/>
    </row>
    <row r="124" ht="15.6" spans="2:2">
      <c r="B124" s="66"/>
    </row>
    <row r="125" ht="15.6" spans="2:2">
      <c r="B125" s="66"/>
    </row>
    <row r="126" ht="15.6" spans="2:2">
      <c r="B126" s="66"/>
    </row>
    <row r="127" ht="15.6" spans="2:2">
      <c r="B127" s="66"/>
    </row>
    <row r="128" ht="15.6" spans="2:2">
      <c r="B128" s="66"/>
    </row>
    <row r="129" ht="15.6" spans="2:2">
      <c r="B129" s="66"/>
    </row>
    <row r="130" ht="15.6" spans="2:2">
      <c r="B130" s="66"/>
    </row>
    <row r="131" ht="15.6" spans="2:2">
      <c r="B131" s="66"/>
    </row>
    <row r="132" ht="15.6" spans="2:2">
      <c r="B132" s="66"/>
    </row>
    <row r="133" ht="15.6" spans="2:2">
      <c r="B133" s="66"/>
    </row>
    <row r="134" ht="15.6" spans="2:2">
      <c r="B134" s="66"/>
    </row>
    <row r="135" ht="15.6" spans="2:2">
      <c r="B135" s="66"/>
    </row>
    <row r="136" ht="15.6" spans="2:2">
      <c r="B136" s="66"/>
    </row>
    <row r="137" ht="15.6" spans="2:2">
      <c r="B137" s="66"/>
    </row>
    <row r="138" ht="15.6" spans="2:2">
      <c r="B138" s="66"/>
    </row>
    <row r="139" ht="15.6" spans="2:2">
      <c r="B139" s="66"/>
    </row>
    <row r="140" ht="15.6" spans="2:2">
      <c r="B140" s="66"/>
    </row>
    <row r="141" ht="15.6" spans="2:2">
      <c r="B141" s="66"/>
    </row>
    <row r="142" ht="15.6" spans="2:2">
      <c r="B142" s="66"/>
    </row>
    <row r="143" ht="15.6" spans="2:2">
      <c r="B143" s="66"/>
    </row>
    <row r="144" ht="15.6" spans="2:2">
      <c r="B144" s="66"/>
    </row>
    <row r="145" ht="15.6" spans="2:2">
      <c r="B145" s="66"/>
    </row>
    <row r="146" ht="15.6" spans="2:2">
      <c r="B146" s="66"/>
    </row>
    <row r="147" ht="15.6" spans="2:2">
      <c r="B147" s="66"/>
    </row>
    <row r="148" ht="15.6" spans="2:2">
      <c r="B148" s="66"/>
    </row>
    <row r="149" ht="15.6" spans="2:2">
      <c r="B149" s="66"/>
    </row>
    <row r="150" ht="15.6" spans="2:2">
      <c r="B150" s="66"/>
    </row>
    <row r="151" ht="15.6" spans="2:2">
      <c r="B151" s="66"/>
    </row>
    <row r="152" ht="15.6" spans="2:2">
      <c r="B152" s="66"/>
    </row>
    <row r="153" ht="15.6" spans="2:2">
      <c r="B153" s="66"/>
    </row>
    <row r="154" ht="15.6" spans="2:2">
      <c r="B154" s="66"/>
    </row>
    <row r="155" ht="15.6" spans="2:2">
      <c r="B155" s="66"/>
    </row>
    <row r="156" ht="15.6" spans="2:2">
      <c r="B156" s="66"/>
    </row>
    <row r="157" ht="15.6" spans="2:2">
      <c r="B157" s="66"/>
    </row>
    <row r="158" ht="15.6" spans="2:2">
      <c r="B158" s="66"/>
    </row>
    <row r="159" ht="15.6" spans="2:2">
      <c r="B159" s="66"/>
    </row>
    <row r="160" ht="15.6" spans="2:2">
      <c r="B160" s="66"/>
    </row>
    <row r="161" ht="15.6" spans="2:2">
      <c r="B161" s="66"/>
    </row>
    <row r="162" ht="15.6" spans="2:2">
      <c r="B162" s="66"/>
    </row>
    <row r="163" ht="15.6" spans="2:2">
      <c r="B163" s="66"/>
    </row>
    <row r="164" ht="15.6" spans="2:2">
      <c r="B164" s="66"/>
    </row>
    <row r="165" ht="15.6" spans="2:2">
      <c r="B165" s="66"/>
    </row>
    <row r="166" ht="15.6" spans="2:2">
      <c r="B166" s="66"/>
    </row>
    <row r="167" ht="15.6" spans="2:2">
      <c r="B167" s="66"/>
    </row>
    <row r="168" ht="15.6" spans="2:2">
      <c r="B168" s="66"/>
    </row>
    <row r="169" ht="15.6" spans="2:2">
      <c r="B169" s="66"/>
    </row>
    <row r="170" ht="15.6" spans="2:2">
      <c r="B170" s="66"/>
    </row>
    <row r="171" ht="15.6" spans="2:2">
      <c r="B171" s="66"/>
    </row>
    <row r="172" ht="15.6" spans="2:2">
      <c r="B172" s="66"/>
    </row>
    <row r="173" ht="15.6" spans="2:2">
      <c r="B173" s="66"/>
    </row>
    <row r="174" ht="15.6" spans="2:2">
      <c r="B174" s="66"/>
    </row>
    <row r="175" ht="15.6" spans="2:2">
      <c r="B175" s="66"/>
    </row>
    <row r="176" ht="15.6" spans="2:2">
      <c r="B176" s="66"/>
    </row>
    <row r="177" ht="15.6" spans="2:2">
      <c r="B177" s="66"/>
    </row>
    <row r="178" ht="15.6" spans="2:2">
      <c r="B178" s="66"/>
    </row>
    <row r="179" ht="15.6" spans="2:2">
      <c r="B179" s="66"/>
    </row>
    <row r="180" ht="15.6" spans="2:2">
      <c r="B180" s="66"/>
    </row>
    <row r="181" ht="15.6" spans="2:2">
      <c r="B181" s="66"/>
    </row>
    <row r="182" ht="15.6" spans="2:2">
      <c r="B182" s="66"/>
    </row>
    <row r="183" ht="15.6" spans="2:2">
      <c r="B183" s="66"/>
    </row>
    <row r="184" ht="15.6" spans="2:2">
      <c r="B184" s="66"/>
    </row>
    <row r="185" ht="15.6" spans="2:2">
      <c r="B185" s="66"/>
    </row>
  </sheetData>
  <customSheetViews>
    <customSheetView guid="{27B96A40-A6B2-43F7-A93C-713F4207CB2A}">
      <selection activeCell="G22" sqref="G22"/>
      <pageMargins left="0.7" right="0.7" top="0.75" bottom="0.75" header="0.3" footer="0.3"/>
      <pageSetup paperSize="9" orientation="portrait"/>
      <headerFooter/>
    </customSheetView>
  </customSheetViews>
  <mergeCells count="5">
    <mergeCell ref="A1:D1"/>
    <mergeCell ref="A5:A7"/>
    <mergeCell ref="D5:D7"/>
    <mergeCell ref="A18:D22"/>
    <mergeCell ref="A8:D17"/>
  </mergeCells>
  <pageMargins left="0.7" right="0.7" top="0.75" bottom="0.75" header="0.3" footer="0.3"/>
  <pageSetup paperSize="9" orientation="portrait"/>
  <headerFooter/>
  <drawing r:id="rId1"/>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41"/>
  <sheetViews>
    <sheetView workbookViewId="0">
      <selection activeCell="L4" sqref="L4"/>
    </sheetView>
  </sheetViews>
  <sheetFormatPr defaultColWidth="9" defaultRowHeight="13.8"/>
  <cols>
    <col min="1" max="1" width="20" style="1" customWidth="1"/>
    <col min="2" max="2" width="12.75" style="1" customWidth="1"/>
    <col min="3" max="3" width="15.125" style="1" customWidth="1"/>
    <col min="4" max="8" width="6.625" style="1" customWidth="1"/>
    <col min="9" max="9" width="9.25" style="1" customWidth="1"/>
    <col min="10" max="10" width="12" style="1" customWidth="1"/>
    <col min="11" max="11" width="9.375" style="1" customWidth="1"/>
    <col min="12" max="16384" width="9" style="1"/>
  </cols>
  <sheetData>
    <row r="1" ht="21.95" customHeight="1" spans="1:10">
      <c r="A1" s="2" t="s">
        <v>2552</v>
      </c>
      <c r="B1" s="2"/>
      <c r="C1" s="2"/>
      <c r="D1" s="3" t="s">
        <v>2553</v>
      </c>
      <c r="E1" s="3"/>
      <c r="F1" s="3"/>
      <c r="G1" s="3"/>
      <c r="H1" s="4" t="s">
        <v>2554</v>
      </c>
      <c r="I1" s="4" t="s">
        <v>2555</v>
      </c>
      <c r="J1" s="3" t="s">
        <v>272</v>
      </c>
    </row>
    <row r="2" ht="18" customHeight="1" spans="1:10">
      <c r="A2" s="5" t="s">
        <v>2556</v>
      </c>
      <c r="B2" s="5" t="s">
        <v>2557</v>
      </c>
      <c r="C2" s="3" t="s">
        <v>2558</v>
      </c>
      <c r="D2" s="3" t="s">
        <v>2559</v>
      </c>
      <c r="E2" s="3" t="s">
        <v>2560</v>
      </c>
      <c r="F2" s="3" t="s">
        <v>2561</v>
      </c>
      <c r="G2" s="3" t="s">
        <v>1196</v>
      </c>
      <c r="H2" s="6"/>
      <c r="I2" s="38"/>
      <c r="J2" s="3"/>
    </row>
    <row r="3" ht="50.25" customHeight="1" spans="1:10">
      <c r="A3" s="7"/>
      <c r="B3" s="8" t="s">
        <v>2562</v>
      </c>
      <c r="C3" s="9"/>
      <c r="D3" s="10">
        <v>2</v>
      </c>
      <c r="E3" s="3"/>
      <c r="F3" s="11">
        <v>20</v>
      </c>
      <c r="G3" s="3"/>
      <c r="H3" s="12">
        <v>0</v>
      </c>
      <c r="I3" s="39">
        <f>(D3*F3^2+D3*H3^2)/100</f>
        <v>8</v>
      </c>
      <c r="J3" s="8" t="s">
        <v>2563</v>
      </c>
    </row>
    <row r="4" ht="61.5" customHeight="1" spans="1:10">
      <c r="A4" s="7"/>
      <c r="B4" s="8" t="s">
        <v>2564</v>
      </c>
      <c r="C4" s="9"/>
      <c r="D4" s="10">
        <v>2</v>
      </c>
      <c r="E4" s="3"/>
      <c r="F4" s="11">
        <v>20</v>
      </c>
      <c r="G4" s="3"/>
      <c r="H4" s="12">
        <v>0</v>
      </c>
      <c r="I4" s="39">
        <f>(D4*(F4^2)/2+D4*H4^2)/100</f>
        <v>4</v>
      </c>
      <c r="J4" s="29" t="s">
        <v>2565</v>
      </c>
    </row>
    <row r="5" ht="60" customHeight="1" spans="1:10">
      <c r="A5" s="7"/>
      <c r="B5" s="13" t="s">
        <v>2566</v>
      </c>
      <c r="C5" s="9"/>
      <c r="D5" s="14">
        <v>2</v>
      </c>
      <c r="E5" s="11">
        <v>20</v>
      </c>
      <c r="F5" s="11">
        <v>10</v>
      </c>
      <c r="G5" s="3"/>
      <c r="H5" s="12">
        <v>0</v>
      </c>
      <c r="I5" s="40">
        <f>(D5*F5^2/2+D5*H5^2)/100</f>
        <v>1</v>
      </c>
      <c r="J5" s="13"/>
    </row>
    <row r="6" ht="60" customHeight="1" spans="1:10">
      <c r="A6" s="7"/>
      <c r="B6" s="8" t="s">
        <v>2567</v>
      </c>
      <c r="C6" s="15"/>
      <c r="D6" s="10">
        <v>2</v>
      </c>
      <c r="E6" s="3"/>
      <c r="F6" s="11">
        <v>20</v>
      </c>
      <c r="G6" s="3"/>
      <c r="H6" s="12">
        <v>0</v>
      </c>
      <c r="I6" s="39">
        <f>(D6*F6^2+D6*H6^2)/100</f>
        <v>8</v>
      </c>
      <c r="J6" s="41"/>
    </row>
    <row r="7" ht="60" customHeight="1" spans="1:10">
      <c r="A7" s="7"/>
      <c r="B7" s="8" t="s">
        <v>2568</v>
      </c>
      <c r="C7" s="9"/>
      <c r="D7" s="12">
        <v>2</v>
      </c>
      <c r="E7" s="3"/>
      <c r="F7" s="12">
        <v>20</v>
      </c>
      <c r="G7" s="3"/>
      <c r="H7" s="12">
        <v>0</v>
      </c>
      <c r="I7" s="39">
        <f>(D7*(F7^2)/2+D7*H7^2)/100</f>
        <v>4</v>
      </c>
      <c r="J7" s="9"/>
    </row>
    <row r="8" ht="60" customHeight="1" spans="1:10">
      <c r="A8" s="16"/>
      <c r="B8" s="17" t="s">
        <v>2569</v>
      </c>
      <c r="C8" s="9"/>
      <c r="D8" s="12">
        <v>2</v>
      </c>
      <c r="E8" s="3"/>
      <c r="F8" s="11">
        <v>20</v>
      </c>
      <c r="G8" s="3"/>
      <c r="H8" s="12">
        <v>0</v>
      </c>
      <c r="I8" s="39">
        <f>(D8*F8^2*2/5+D8*H8^2)/100</f>
        <v>3.2</v>
      </c>
      <c r="J8" s="9"/>
    </row>
    <row r="9" ht="60" customHeight="1" spans="1:10">
      <c r="A9" s="7"/>
      <c r="B9" s="8" t="s">
        <v>2570</v>
      </c>
      <c r="C9" s="9"/>
      <c r="D9" s="12">
        <v>2</v>
      </c>
      <c r="E9" s="3"/>
      <c r="F9" s="11">
        <v>20</v>
      </c>
      <c r="G9" s="3"/>
      <c r="H9" s="12">
        <v>0</v>
      </c>
      <c r="I9" s="39">
        <f>(D9*F9^2*2/3+D9*H9^2)/100</f>
        <v>5.33333333333333</v>
      </c>
      <c r="J9" s="9"/>
    </row>
    <row r="10" ht="60" customHeight="1" spans="1:10">
      <c r="A10" s="7"/>
      <c r="B10" s="8" t="s">
        <v>2571</v>
      </c>
      <c r="C10" s="9"/>
      <c r="D10" s="10">
        <v>2</v>
      </c>
      <c r="E10" s="3"/>
      <c r="F10" s="3"/>
      <c r="G10" s="11">
        <v>20</v>
      </c>
      <c r="H10" s="12">
        <v>0</v>
      </c>
      <c r="I10" s="39">
        <f>(D10*G10^2/12+D10*H10^2)/100</f>
        <v>0.666666666666667</v>
      </c>
      <c r="J10" s="24" t="s">
        <v>2572</v>
      </c>
    </row>
    <row r="11" ht="60" customHeight="1" spans="1:10">
      <c r="A11" s="7"/>
      <c r="B11" s="8" t="s">
        <v>2573</v>
      </c>
      <c r="C11" s="9"/>
      <c r="D11" s="12">
        <v>2</v>
      </c>
      <c r="E11" s="3"/>
      <c r="F11" s="3"/>
      <c r="G11" s="11">
        <v>20</v>
      </c>
      <c r="H11" s="3"/>
      <c r="I11" s="39">
        <f>(D11*G11^2/3)/100</f>
        <v>2.66666666666667</v>
      </c>
      <c r="J11" s="9"/>
    </row>
    <row r="12" ht="60" customHeight="1" spans="1:10">
      <c r="A12" s="7"/>
      <c r="B12" s="17" t="s">
        <v>2574</v>
      </c>
      <c r="C12" s="9"/>
      <c r="D12" s="10">
        <v>2</v>
      </c>
      <c r="E12" s="3"/>
      <c r="F12" s="12">
        <v>10</v>
      </c>
      <c r="G12" s="11">
        <v>20</v>
      </c>
      <c r="H12" s="12">
        <v>0</v>
      </c>
      <c r="I12" s="39">
        <f>(D12*G12^2/12+D12*F12^2/4+D12*13^2)/100</f>
        <v>4.54666666666667</v>
      </c>
      <c r="J12" s="29" t="s">
        <v>2575</v>
      </c>
    </row>
    <row r="13" ht="60" customHeight="1" spans="1:10">
      <c r="A13" s="7"/>
      <c r="B13" s="8" t="s">
        <v>2576</v>
      </c>
      <c r="C13" s="9"/>
      <c r="D13" s="12">
        <v>2</v>
      </c>
      <c r="E13" s="11">
        <v>10</v>
      </c>
      <c r="F13" s="11">
        <v>20</v>
      </c>
      <c r="G13" s="3"/>
      <c r="H13" s="12">
        <v>0</v>
      </c>
      <c r="I13" s="39">
        <f>(D13*(E13^2+F13^2)/12+D13*H13^2)/100</f>
        <v>0.833333333333333</v>
      </c>
      <c r="J13" s="9"/>
    </row>
    <row r="14" ht="72" customHeight="1" spans="1:10">
      <c r="A14" s="18" t="s">
        <v>2577</v>
      </c>
      <c r="B14" s="19"/>
      <c r="C14" s="20"/>
      <c r="D14" s="9"/>
      <c r="E14" s="3"/>
      <c r="F14" s="3"/>
      <c r="G14" s="3"/>
      <c r="H14" s="3"/>
      <c r="I14" s="3"/>
      <c r="J14" s="39"/>
    </row>
    <row r="15" ht="28.5" customHeight="1"/>
    <row r="16" ht="21.75" customHeight="1" spans="1:13">
      <c r="A16" s="21" t="s">
        <v>2578</v>
      </c>
      <c r="B16" s="22"/>
      <c r="C16" s="22"/>
      <c r="D16" s="22"/>
      <c r="E16" s="22"/>
      <c r="F16" s="22"/>
      <c r="G16" s="23" t="s">
        <v>2579</v>
      </c>
      <c r="H16" s="23" t="s">
        <v>2580</v>
      </c>
      <c r="I16" s="23" t="s">
        <v>2581</v>
      </c>
      <c r="J16" s="23" t="s">
        <v>2582</v>
      </c>
      <c r="K16" s="42" t="s">
        <v>2583</v>
      </c>
      <c r="L16" s="42" t="s">
        <v>2584</v>
      </c>
      <c r="M16" s="23" t="s">
        <v>2585</v>
      </c>
    </row>
    <row r="17" ht="17.25" customHeight="1" spans="1:13">
      <c r="A17" s="24" t="s">
        <v>2586</v>
      </c>
      <c r="B17" s="24" t="s">
        <v>2587</v>
      </c>
      <c r="C17" s="25" t="s">
        <v>2588</v>
      </c>
      <c r="D17" s="3" t="s">
        <v>272</v>
      </c>
      <c r="E17" s="3"/>
      <c r="F17" s="26"/>
      <c r="G17" s="27" t="s">
        <v>2589</v>
      </c>
      <c r="H17" s="27" t="s">
        <v>2590</v>
      </c>
      <c r="I17" s="27" t="s">
        <v>2591</v>
      </c>
      <c r="J17" s="43" t="s">
        <v>2592</v>
      </c>
      <c r="K17" s="44" t="s">
        <v>2593</v>
      </c>
      <c r="L17" s="44" t="s">
        <v>1511</v>
      </c>
      <c r="M17" s="27" t="s">
        <v>2594</v>
      </c>
    </row>
    <row r="18" ht="69.95" customHeight="1" spans="1:13">
      <c r="A18" s="28"/>
      <c r="B18" s="29" t="s">
        <v>2595</v>
      </c>
      <c r="C18" s="9"/>
      <c r="D18" s="4" t="s">
        <v>2596</v>
      </c>
      <c r="E18" s="4"/>
      <c r="F18" s="9"/>
      <c r="G18" s="30"/>
      <c r="H18" s="30"/>
      <c r="I18" s="30"/>
      <c r="J18" s="33">
        <v>20</v>
      </c>
      <c r="K18" s="33">
        <v>5</v>
      </c>
      <c r="L18" s="33">
        <v>0.9</v>
      </c>
      <c r="M18" s="39">
        <f>J18/K18^2/L18</f>
        <v>0.888888888888889</v>
      </c>
    </row>
    <row r="19" ht="45.75" customHeight="1" spans="1:13">
      <c r="A19" s="28"/>
      <c r="B19" s="31" t="s">
        <v>2597</v>
      </c>
      <c r="C19" s="32"/>
      <c r="D19" s="4" t="s">
        <v>2598</v>
      </c>
      <c r="E19" s="4"/>
      <c r="F19" s="2" t="s">
        <v>2599</v>
      </c>
      <c r="G19" s="33">
        <v>3</v>
      </c>
      <c r="H19" s="33">
        <v>22.5</v>
      </c>
      <c r="I19" s="30"/>
      <c r="J19" s="30"/>
      <c r="K19" s="30"/>
      <c r="L19" s="33">
        <v>0.9</v>
      </c>
      <c r="M19" s="45">
        <f>G19*(H19/10)^2/L19</f>
        <v>16.875</v>
      </c>
    </row>
    <row r="20" ht="42.75" customHeight="1" spans="1:13">
      <c r="A20" s="28"/>
      <c r="B20" s="31"/>
      <c r="C20" s="32"/>
      <c r="D20" s="4"/>
      <c r="E20" s="4"/>
      <c r="F20" s="2"/>
      <c r="G20" s="33"/>
      <c r="H20" s="33"/>
      <c r="I20" s="30"/>
      <c r="J20" s="30"/>
      <c r="K20" s="30"/>
      <c r="L20" s="33"/>
      <c r="M20" s="46"/>
    </row>
    <row r="21" ht="69.95" customHeight="1" spans="1:13">
      <c r="A21" s="34" t="s">
        <v>2600</v>
      </c>
      <c r="B21" s="29" t="s">
        <v>2601</v>
      </c>
      <c r="C21" s="9"/>
      <c r="D21" s="4" t="s">
        <v>2602</v>
      </c>
      <c r="E21" s="4"/>
      <c r="F21" s="2"/>
      <c r="G21" s="33">
        <v>20</v>
      </c>
      <c r="H21" s="30"/>
      <c r="I21" s="33">
        <v>5</v>
      </c>
      <c r="J21" s="30"/>
      <c r="K21" s="30"/>
      <c r="L21" s="33">
        <v>0.9</v>
      </c>
      <c r="M21" s="39">
        <f>G21*((I21/10)/(2*PI()))^2/L21</f>
        <v>0.140723866169914</v>
      </c>
    </row>
    <row r="22" ht="69.95" customHeight="1" spans="1:13">
      <c r="A22" s="28"/>
      <c r="B22" s="24" t="s">
        <v>2603</v>
      </c>
      <c r="C22" s="9"/>
      <c r="D22" s="4" t="s">
        <v>2604</v>
      </c>
      <c r="E22" s="4"/>
      <c r="F22" s="2"/>
      <c r="G22" s="30"/>
      <c r="H22" s="30"/>
      <c r="I22" s="30"/>
      <c r="J22" s="33">
        <v>20</v>
      </c>
      <c r="K22" s="33">
        <v>5</v>
      </c>
      <c r="L22" s="33">
        <v>0.9</v>
      </c>
      <c r="M22" s="39">
        <f>J22/K22^2/L22</f>
        <v>0.888888888888889</v>
      </c>
    </row>
    <row r="23" ht="12.75" customHeight="1"/>
    <row r="24" ht="14.25" customHeight="1" spans="1:6">
      <c r="A24" s="35" t="s">
        <v>2605</v>
      </c>
      <c r="B24" s="35"/>
      <c r="C24" s="35"/>
      <c r="D24" s="35"/>
      <c r="E24" s="35"/>
      <c r="F24" s="35"/>
    </row>
    <row r="25" ht="14.25" customHeight="1" spans="1:6">
      <c r="A25" s="35"/>
      <c r="B25" s="35"/>
      <c r="C25" s="35"/>
      <c r="D25" s="35"/>
      <c r="E25" s="35"/>
      <c r="F25" s="35"/>
    </row>
    <row r="26" ht="14.25" customHeight="1" spans="1:6">
      <c r="A26" s="35"/>
      <c r="B26" s="35"/>
      <c r="C26" s="35"/>
      <c r="D26" s="35"/>
      <c r="E26" s="35"/>
      <c r="F26" s="35"/>
    </row>
    <row r="27" ht="14.25" customHeight="1" spans="1:6">
      <c r="A27" s="35"/>
      <c r="B27" s="35"/>
      <c r="C27" s="35"/>
      <c r="D27" s="35"/>
      <c r="E27" s="35"/>
      <c r="F27" s="35"/>
    </row>
    <row r="28" ht="14.25" customHeight="1" spans="1:6">
      <c r="A28" s="35"/>
      <c r="B28" s="35"/>
      <c r="C28" s="35"/>
      <c r="D28" s="35"/>
      <c r="E28" s="35"/>
      <c r="F28" s="35"/>
    </row>
    <row r="29" ht="14.25" customHeight="1" spans="1:6">
      <c r="A29" s="35"/>
      <c r="B29" s="35"/>
      <c r="C29" s="35"/>
      <c r="D29" s="35"/>
      <c r="E29" s="35"/>
      <c r="F29" s="35"/>
    </row>
    <row r="30" ht="14.25" customHeight="1" spans="1:6">
      <c r="A30" s="35"/>
      <c r="B30" s="35"/>
      <c r="C30" s="35"/>
      <c r="D30" s="35"/>
      <c r="E30" s="35"/>
      <c r="F30" s="35"/>
    </row>
    <row r="31" ht="14.25" customHeight="1" spans="1:6">
      <c r="A31" s="35"/>
      <c r="B31" s="35"/>
      <c r="C31" s="35"/>
      <c r="D31" s="35"/>
      <c r="E31" s="35"/>
      <c r="F31" s="35"/>
    </row>
    <row r="32" ht="14.25" customHeight="1" spans="1:6">
      <c r="A32" s="35"/>
      <c r="B32" s="35"/>
      <c r="C32" s="35"/>
      <c r="D32" s="35"/>
      <c r="E32" s="35"/>
      <c r="F32" s="35"/>
    </row>
    <row r="33" ht="14.25" customHeight="1" spans="1:6">
      <c r="A33" s="35"/>
      <c r="B33" s="35"/>
      <c r="C33" s="35"/>
      <c r="D33" s="35"/>
      <c r="E33" s="35"/>
      <c r="F33" s="35"/>
    </row>
    <row r="34" ht="14.25" customHeight="1" spans="1:6">
      <c r="A34" s="35"/>
      <c r="B34" s="35"/>
      <c r="C34" s="35"/>
      <c r="D34" s="35"/>
      <c r="E34" s="35"/>
      <c r="F34" s="35"/>
    </row>
    <row r="35" ht="14.25" customHeight="1" spans="1:6">
      <c r="A35" s="35"/>
      <c r="B35" s="35"/>
      <c r="C35" s="35"/>
      <c r="D35" s="35"/>
      <c r="E35" s="35"/>
      <c r="F35" s="35"/>
    </row>
    <row r="36" ht="14.25" customHeight="1" spans="1:6">
      <c r="A36" s="35"/>
      <c r="B36" s="35"/>
      <c r="C36" s="35"/>
      <c r="D36" s="35"/>
      <c r="E36" s="35"/>
      <c r="F36" s="35"/>
    </row>
    <row r="37" spans="1:6">
      <c r="A37" s="36" t="s">
        <v>2606</v>
      </c>
      <c r="B37" s="37"/>
      <c r="C37" s="37"/>
      <c r="D37" s="37"/>
      <c r="E37" s="37"/>
      <c r="F37" s="37"/>
    </row>
    <row r="38" spans="1:6">
      <c r="A38" s="36"/>
      <c r="B38" s="37"/>
      <c r="C38" s="37"/>
      <c r="D38" s="37"/>
      <c r="E38" s="37"/>
      <c r="F38" s="37"/>
    </row>
    <row r="39" spans="1:6">
      <c r="A39" s="36"/>
      <c r="B39" s="37"/>
      <c r="C39" s="37"/>
      <c r="D39" s="37"/>
      <c r="E39" s="37"/>
      <c r="F39" s="37"/>
    </row>
    <row r="40" spans="1:6">
      <c r="A40" s="36"/>
      <c r="B40" s="37"/>
      <c r="C40" s="37"/>
      <c r="D40" s="37"/>
      <c r="E40" s="37"/>
      <c r="F40" s="37"/>
    </row>
    <row r="41" spans="1:6">
      <c r="A41" s="36"/>
      <c r="B41" s="37"/>
      <c r="C41" s="37"/>
      <c r="D41" s="37"/>
      <c r="E41" s="37"/>
      <c r="F41" s="37"/>
    </row>
  </sheetData>
  <customSheetViews>
    <customSheetView guid="{27B96A40-A6B2-43F7-A93C-713F4207CB2A}">
      <selection activeCell="M44" sqref="M44"/>
      <pageMargins left="0.7" right="0.7" top="0.75" bottom="0.75" header="0.3" footer="0.3"/>
      <pageSetup paperSize="9" orientation="portrait"/>
      <headerFooter/>
    </customSheetView>
  </customSheetViews>
  <mergeCells count="25">
    <mergeCell ref="A1:C1"/>
    <mergeCell ref="D1:G1"/>
    <mergeCell ref="B14:C14"/>
    <mergeCell ref="A16:F16"/>
    <mergeCell ref="D17:F17"/>
    <mergeCell ref="D18:E18"/>
    <mergeCell ref="G18:I18"/>
    <mergeCell ref="D21:E21"/>
    <mergeCell ref="J21:K21"/>
    <mergeCell ref="D22:E22"/>
    <mergeCell ref="G22:I22"/>
    <mergeCell ref="B19:B20"/>
    <mergeCell ref="C19:C20"/>
    <mergeCell ref="F19:F22"/>
    <mergeCell ref="G19:G20"/>
    <mergeCell ref="H1:H2"/>
    <mergeCell ref="H19:H20"/>
    <mergeCell ref="I1:I2"/>
    <mergeCell ref="J1:J2"/>
    <mergeCell ref="L19:L20"/>
    <mergeCell ref="M19:M20"/>
    <mergeCell ref="I19:K20"/>
    <mergeCell ref="A37:F41"/>
    <mergeCell ref="A24:F36"/>
    <mergeCell ref="D19:E20"/>
  </mergeCells>
  <pageMargins left="0.7" right="0.7" top="0.75" bottom="0.75" header="0.3" footer="0.3"/>
  <pageSetup paperSize="9" orientation="portrait"/>
  <headerFooter/>
  <drawing r:id="rId1"/>
  <legacyDrawing r:id="rId2"/>
  <oleObjects>
    <mc:AlternateContent xmlns:mc="http://schemas.openxmlformats.org/markup-compatibility/2006">
      <mc:Choice Requires="x14">
        <oleObject shapeId="12290" progId="Equations" r:id="rId3">
          <objectPr defaultSize="0" r:id="rId4">
            <anchor moveWithCells="1">
              <from>
                <xdr:col>2</xdr:col>
                <xdr:colOff>22860</xdr:colOff>
                <xdr:row>3</xdr:row>
                <xdr:rowOff>30480</xdr:rowOff>
              </from>
              <to>
                <xdr:col>2</xdr:col>
                <xdr:colOff>586740</xdr:colOff>
                <xdr:row>3</xdr:row>
                <xdr:rowOff>594360</xdr:rowOff>
              </to>
            </anchor>
          </objectPr>
        </oleObject>
      </mc:Choice>
      <mc:Fallback>
        <oleObject shapeId="12290" progId="Equations" r:id="rId3"/>
      </mc:Fallback>
    </mc:AlternateContent>
    <mc:AlternateContent xmlns:mc="http://schemas.openxmlformats.org/markup-compatibility/2006">
      <mc:Choice Requires="x14">
        <oleObject shapeId="12293" progId="Equations" r:id="rId5">
          <objectPr defaultSize="0" r:id="rId6">
            <anchor moveWithCells="1">
              <from>
                <xdr:col>2</xdr:col>
                <xdr:colOff>0</xdr:colOff>
                <xdr:row>4</xdr:row>
                <xdr:rowOff>67945</xdr:rowOff>
              </from>
              <to>
                <xdr:col>2</xdr:col>
                <xdr:colOff>914400</xdr:colOff>
                <xdr:row>4</xdr:row>
                <xdr:rowOff>495300</xdr:rowOff>
              </to>
            </anchor>
          </objectPr>
        </oleObject>
      </mc:Choice>
      <mc:Fallback>
        <oleObject shapeId="12293" progId="Equations" r:id="rId5"/>
      </mc:Fallback>
    </mc:AlternateContent>
    <mc:AlternateContent xmlns:mc="http://schemas.openxmlformats.org/markup-compatibility/2006">
      <mc:Choice Requires="x14">
        <oleObject shapeId="12294" progId="Equations" r:id="rId7">
          <objectPr defaultSize="0" r:id="rId8">
            <anchor moveWithCells="1">
              <from>
                <xdr:col>2</xdr:col>
                <xdr:colOff>0</xdr:colOff>
                <xdr:row>7</xdr:row>
                <xdr:rowOff>22860</xdr:rowOff>
              </from>
              <to>
                <xdr:col>2</xdr:col>
                <xdr:colOff>601980</xdr:colOff>
                <xdr:row>7</xdr:row>
                <xdr:rowOff>601980</xdr:rowOff>
              </to>
            </anchor>
          </objectPr>
        </oleObject>
      </mc:Choice>
      <mc:Fallback>
        <oleObject shapeId="12294" progId="Equations" r:id="rId7"/>
      </mc:Fallback>
    </mc:AlternateContent>
    <mc:AlternateContent xmlns:mc="http://schemas.openxmlformats.org/markup-compatibility/2006">
      <mc:Choice Requires="x14">
        <oleObject shapeId="12299" progId="Equations" r:id="rId9">
          <objectPr defaultSize="0" r:id="rId10">
            <anchor moveWithCells="1">
              <from>
                <xdr:col>9</xdr:col>
                <xdr:colOff>38100</xdr:colOff>
                <xdr:row>4</xdr:row>
                <xdr:rowOff>76200</xdr:rowOff>
              </from>
              <to>
                <xdr:col>10</xdr:col>
                <xdr:colOff>510540</xdr:colOff>
                <xdr:row>4</xdr:row>
                <xdr:rowOff>571500</xdr:rowOff>
              </to>
            </anchor>
          </objectPr>
        </oleObject>
      </mc:Choice>
      <mc:Fallback>
        <oleObject shapeId="12299" progId="Equations" r:id="rId9"/>
      </mc:Fallback>
    </mc:AlternateContent>
    <mc:AlternateContent xmlns:mc="http://schemas.openxmlformats.org/markup-compatibility/2006">
      <mc:Choice Requires="x14">
        <oleObject shapeId="12313" progId="Equations" r:id="rId11">
          <objectPr defaultSize="0" r:id="rId4">
            <anchor moveWithCells="1">
              <from>
                <xdr:col>2</xdr:col>
                <xdr:colOff>22860</xdr:colOff>
                <xdr:row>6</xdr:row>
                <xdr:rowOff>22860</xdr:rowOff>
              </from>
              <to>
                <xdr:col>2</xdr:col>
                <xdr:colOff>617220</xdr:colOff>
                <xdr:row>7</xdr:row>
                <xdr:rowOff>7620</xdr:rowOff>
              </to>
            </anchor>
          </objectPr>
        </oleObject>
      </mc:Choice>
      <mc:Fallback>
        <oleObject shapeId="12313" progId="Equations" r:id="rId11"/>
      </mc:Fallback>
    </mc:AlternateContent>
    <mc:AlternateContent xmlns:mc="http://schemas.openxmlformats.org/markup-compatibility/2006">
      <mc:Choice Requires="x14">
        <oleObject shapeId="12327" progId="Equations" r:id="rId12">
          <objectPr defaultSize="0" r:id="rId13">
            <anchor moveWithCells="1">
              <from>
                <xdr:col>2</xdr:col>
                <xdr:colOff>15240</xdr:colOff>
                <xdr:row>17</xdr:row>
                <xdr:rowOff>15240</xdr:rowOff>
              </from>
              <to>
                <xdr:col>2</xdr:col>
                <xdr:colOff>899160</xdr:colOff>
                <xdr:row>17</xdr:row>
                <xdr:rowOff>510540</xdr:rowOff>
              </to>
            </anchor>
          </objectPr>
        </oleObject>
      </mc:Choice>
      <mc:Fallback>
        <oleObject shapeId="12327" progId="Equations" r:id="rId12"/>
      </mc:Fallback>
    </mc:AlternateContent>
    <mc:AlternateContent xmlns:mc="http://schemas.openxmlformats.org/markup-compatibility/2006">
      <mc:Choice Requires="x14">
        <oleObject shapeId="12328" progId="Equations" r:id="rId14">
          <objectPr defaultSize="0" r:id="rId15">
            <anchor moveWithCells="1">
              <from>
                <xdr:col>3</xdr:col>
                <xdr:colOff>45720</xdr:colOff>
                <xdr:row>16</xdr:row>
                <xdr:rowOff>167640</xdr:rowOff>
              </from>
              <to>
                <xdr:col>3</xdr:col>
                <xdr:colOff>381000</xdr:colOff>
                <xdr:row>17</xdr:row>
                <xdr:rowOff>190500</xdr:rowOff>
              </to>
            </anchor>
          </objectPr>
        </oleObject>
      </mc:Choice>
      <mc:Fallback>
        <oleObject shapeId="12328" progId="Equations" r:id="rId14"/>
      </mc:Fallback>
    </mc:AlternateContent>
    <mc:AlternateContent xmlns:mc="http://schemas.openxmlformats.org/markup-compatibility/2006">
      <mc:Choice Requires="x14">
        <oleObject shapeId="12334" progId="Equations" r:id="rId16">
          <objectPr defaultSize="0" r:id="rId17">
            <anchor moveWithCells="1">
              <from>
                <xdr:col>3</xdr:col>
                <xdr:colOff>38100</xdr:colOff>
                <xdr:row>18</xdr:row>
                <xdr:rowOff>160020</xdr:rowOff>
              </from>
              <to>
                <xdr:col>3</xdr:col>
                <xdr:colOff>373380</xdr:colOff>
                <xdr:row>18</xdr:row>
                <xdr:rowOff>365760</xdr:rowOff>
              </to>
            </anchor>
          </objectPr>
        </oleObject>
      </mc:Choice>
      <mc:Fallback>
        <oleObject shapeId="12334" progId="Equations" r:id="rId16"/>
      </mc:Fallback>
    </mc:AlternateContent>
    <mc:AlternateContent xmlns:mc="http://schemas.openxmlformats.org/markup-compatibility/2006">
      <mc:Choice Requires="x14">
        <oleObject shapeId="12338" progId="Equations" r:id="rId18">
          <objectPr defaultSize="0" r:id="rId19">
            <anchor moveWithCells="1">
              <from>
                <xdr:col>3</xdr:col>
                <xdr:colOff>38100</xdr:colOff>
                <xdr:row>20</xdr:row>
                <xdr:rowOff>83820</xdr:rowOff>
              </from>
              <to>
                <xdr:col>3</xdr:col>
                <xdr:colOff>381000</xdr:colOff>
                <xdr:row>20</xdr:row>
                <xdr:rowOff>297180</xdr:rowOff>
              </to>
            </anchor>
          </objectPr>
        </oleObject>
      </mc:Choice>
      <mc:Fallback>
        <oleObject shapeId="12338" progId="Equations" r:id="rId18"/>
      </mc:Fallback>
    </mc:AlternateContent>
    <mc:AlternateContent xmlns:mc="http://schemas.openxmlformats.org/markup-compatibility/2006">
      <mc:Choice Requires="x14">
        <oleObject shapeId="12344" progId="Equations" r:id="rId20">
          <objectPr defaultSize="0" r:id="rId21">
            <anchor moveWithCells="1">
              <from>
                <xdr:col>1</xdr:col>
                <xdr:colOff>30480</xdr:colOff>
                <xdr:row>13</xdr:row>
                <xdr:rowOff>129540</xdr:rowOff>
              </from>
              <to>
                <xdr:col>2</xdr:col>
                <xdr:colOff>853440</xdr:colOff>
                <xdr:row>13</xdr:row>
                <xdr:rowOff>609600</xdr:rowOff>
              </to>
            </anchor>
          </objectPr>
        </oleObject>
      </mc:Choice>
      <mc:Fallback>
        <oleObject shapeId="12344" progId="Equations" r:id="rId20"/>
      </mc:Fallback>
    </mc:AlternateContent>
    <mc:AlternateContent xmlns:mc="http://schemas.openxmlformats.org/markup-compatibility/2006">
      <mc:Choice Requires="x14">
        <oleObject shapeId="12347" progId="Equations" r:id="rId22">
          <objectPr defaultSize="0" r:id="rId23">
            <anchor moveWithCells="1">
              <from>
                <xdr:col>2</xdr:col>
                <xdr:colOff>7620</xdr:colOff>
                <xdr:row>2</xdr:row>
                <xdr:rowOff>91440</xdr:rowOff>
              </from>
              <to>
                <xdr:col>2</xdr:col>
                <xdr:colOff>449580</xdr:colOff>
                <xdr:row>2</xdr:row>
                <xdr:rowOff>411480</xdr:rowOff>
              </to>
            </anchor>
          </objectPr>
        </oleObject>
      </mc:Choice>
      <mc:Fallback>
        <oleObject shapeId="12347" progId="Equations" r:id="rId22"/>
      </mc:Fallback>
    </mc:AlternateContent>
    <mc:AlternateContent xmlns:mc="http://schemas.openxmlformats.org/markup-compatibility/2006">
      <mc:Choice Requires="x14">
        <oleObject shapeId="12348" progId="Equations" r:id="rId24">
          <objectPr defaultSize="0" r:id="rId23">
            <anchor moveWithCells="1">
              <from>
                <xdr:col>2</xdr:col>
                <xdr:colOff>7620</xdr:colOff>
                <xdr:row>5</xdr:row>
                <xdr:rowOff>99060</xdr:rowOff>
              </from>
              <to>
                <xdr:col>2</xdr:col>
                <xdr:colOff>472440</xdr:colOff>
                <xdr:row>5</xdr:row>
                <xdr:rowOff>433705</xdr:rowOff>
              </to>
            </anchor>
          </objectPr>
        </oleObject>
      </mc:Choice>
      <mc:Fallback>
        <oleObject shapeId="12348" progId="Equations" r:id="rId24"/>
      </mc:Fallback>
    </mc:AlternateContent>
    <mc:AlternateContent xmlns:mc="http://schemas.openxmlformats.org/markup-compatibility/2006">
      <mc:Choice Requires="x14">
        <oleObject shapeId="12349" progId="Equations" r:id="rId25">
          <objectPr defaultSize="0" r:id="rId26">
            <anchor moveWithCells="1">
              <from>
                <xdr:col>2</xdr:col>
                <xdr:colOff>0</xdr:colOff>
                <xdr:row>8</xdr:row>
                <xdr:rowOff>30480</xdr:rowOff>
              </from>
              <to>
                <xdr:col>2</xdr:col>
                <xdr:colOff>617220</xdr:colOff>
                <xdr:row>8</xdr:row>
                <xdr:rowOff>571500</xdr:rowOff>
              </to>
            </anchor>
          </objectPr>
        </oleObject>
      </mc:Choice>
      <mc:Fallback>
        <oleObject shapeId="12349" progId="Equations" r:id="rId25"/>
      </mc:Fallback>
    </mc:AlternateContent>
    <mc:AlternateContent xmlns:mc="http://schemas.openxmlformats.org/markup-compatibility/2006">
      <mc:Choice Requires="x14">
        <oleObject shapeId="12350" progId="Equations" r:id="rId27">
          <objectPr defaultSize="0" r:id="rId28">
            <anchor moveWithCells="1">
              <from>
                <xdr:col>2</xdr:col>
                <xdr:colOff>7620</xdr:colOff>
                <xdr:row>9</xdr:row>
                <xdr:rowOff>15240</xdr:rowOff>
              </from>
              <to>
                <xdr:col>2</xdr:col>
                <xdr:colOff>678180</xdr:colOff>
                <xdr:row>10</xdr:row>
                <xdr:rowOff>0</xdr:rowOff>
              </to>
            </anchor>
          </objectPr>
        </oleObject>
      </mc:Choice>
      <mc:Fallback>
        <oleObject shapeId="12350" progId="Equations" r:id="rId27"/>
      </mc:Fallback>
    </mc:AlternateContent>
    <mc:AlternateContent xmlns:mc="http://schemas.openxmlformats.org/markup-compatibility/2006">
      <mc:Choice Requires="x14">
        <oleObject shapeId="12351" progId="Equations" r:id="rId29">
          <objectPr defaultSize="0" r:id="rId30">
            <anchor moveWithCells="1">
              <from>
                <xdr:col>2</xdr:col>
                <xdr:colOff>0</xdr:colOff>
                <xdr:row>10</xdr:row>
                <xdr:rowOff>0</xdr:rowOff>
              </from>
              <to>
                <xdr:col>2</xdr:col>
                <xdr:colOff>556260</xdr:colOff>
                <xdr:row>10</xdr:row>
                <xdr:rowOff>594360</xdr:rowOff>
              </to>
            </anchor>
          </objectPr>
        </oleObject>
      </mc:Choice>
      <mc:Fallback>
        <oleObject shapeId="12351" progId="Equations" r:id="rId29"/>
      </mc:Fallback>
    </mc:AlternateContent>
    <mc:AlternateContent xmlns:mc="http://schemas.openxmlformats.org/markup-compatibility/2006">
      <mc:Choice Requires="x14">
        <oleObject shapeId="12352" progId="Equations" r:id="rId31">
          <objectPr defaultSize="0" r:id="rId32">
            <anchor moveWithCells="1">
              <from>
                <xdr:col>2</xdr:col>
                <xdr:colOff>0</xdr:colOff>
                <xdr:row>11</xdr:row>
                <xdr:rowOff>106680</xdr:rowOff>
              </from>
              <to>
                <xdr:col>2</xdr:col>
                <xdr:colOff>914400</xdr:colOff>
                <xdr:row>11</xdr:row>
                <xdr:rowOff>518160</xdr:rowOff>
              </to>
            </anchor>
          </objectPr>
        </oleObject>
      </mc:Choice>
      <mc:Fallback>
        <oleObject shapeId="12352" progId="Equations" r:id="rId31"/>
      </mc:Fallback>
    </mc:AlternateContent>
    <mc:AlternateContent xmlns:mc="http://schemas.openxmlformats.org/markup-compatibility/2006">
      <mc:Choice Requires="x14">
        <oleObject shapeId="12353" progId="Equations" r:id="rId33">
          <objectPr defaultSize="0" r:id="rId34">
            <anchor moveWithCells="1">
              <from>
                <xdr:col>2</xdr:col>
                <xdr:colOff>0</xdr:colOff>
                <xdr:row>12</xdr:row>
                <xdr:rowOff>91440</xdr:rowOff>
              </from>
              <to>
                <xdr:col>3</xdr:col>
                <xdr:colOff>38100</xdr:colOff>
                <xdr:row>12</xdr:row>
                <xdr:rowOff>525780</xdr:rowOff>
              </to>
            </anchor>
          </objectPr>
        </oleObject>
      </mc:Choice>
      <mc:Fallback>
        <oleObject shapeId="12353" progId="Equations" r:id="rId33"/>
      </mc:Fallback>
    </mc:AlternateContent>
    <mc:AlternateContent xmlns:mc="http://schemas.openxmlformats.org/markup-compatibility/2006">
      <mc:Choice Requires="x14">
        <oleObject shapeId="12355" progId="Equations" r:id="rId35">
          <objectPr defaultSize="0" r:id="rId36">
            <anchor moveWithCells="1">
              <from>
                <xdr:col>2</xdr:col>
                <xdr:colOff>7620</xdr:colOff>
                <xdr:row>18</xdr:row>
                <xdr:rowOff>251460</xdr:rowOff>
              </from>
              <to>
                <xdr:col>3</xdr:col>
                <xdr:colOff>38100</xdr:colOff>
                <xdr:row>19</xdr:row>
                <xdr:rowOff>304800</xdr:rowOff>
              </to>
            </anchor>
          </objectPr>
        </oleObject>
      </mc:Choice>
      <mc:Fallback>
        <oleObject shapeId="12355" progId="Equations" r:id="rId35"/>
      </mc:Fallback>
    </mc:AlternateContent>
    <mc:AlternateContent xmlns:mc="http://schemas.openxmlformats.org/markup-compatibility/2006">
      <mc:Choice Requires="x14">
        <oleObject shapeId="12356" progId="Equations" r:id="rId37">
          <objectPr defaultSize="0" r:id="rId38">
            <anchor moveWithCells="1">
              <from>
                <xdr:col>2</xdr:col>
                <xdr:colOff>0</xdr:colOff>
                <xdr:row>20</xdr:row>
                <xdr:rowOff>67945</xdr:rowOff>
              </from>
              <to>
                <xdr:col>3</xdr:col>
                <xdr:colOff>38100</xdr:colOff>
                <xdr:row>20</xdr:row>
                <xdr:rowOff>640080</xdr:rowOff>
              </to>
            </anchor>
          </objectPr>
        </oleObject>
      </mc:Choice>
      <mc:Fallback>
        <oleObject shapeId="12356" progId="Equations" r:id="rId37"/>
      </mc:Fallback>
    </mc:AlternateContent>
    <mc:AlternateContent xmlns:mc="http://schemas.openxmlformats.org/markup-compatibility/2006">
      <mc:Choice Requires="x14">
        <oleObject shapeId="12360" progId="Equations" r:id="rId39">
          <objectPr defaultSize="0" r:id="rId40">
            <anchor moveWithCells="1">
              <from>
                <xdr:col>2</xdr:col>
                <xdr:colOff>0</xdr:colOff>
                <xdr:row>21</xdr:row>
                <xdr:rowOff>0</xdr:rowOff>
              </from>
              <to>
                <xdr:col>3</xdr:col>
                <xdr:colOff>7620</xdr:colOff>
                <xdr:row>22</xdr:row>
                <xdr:rowOff>60960</xdr:rowOff>
              </to>
            </anchor>
          </objectPr>
        </oleObject>
      </mc:Choice>
      <mc:Fallback>
        <oleObject shapeId="12360" progId="Equations" r:id="rId39"/>
      </mc:Fallback>
    </mc:AlternateContent>
    <mc:AlternateContent xmlns:mc="http://schemas.openxmlformats.org/markup-compatibility/2006">
      <mc:Choice Requires="x14">
        <oleObject shapeId="12361" progId="Equations" r:id="rId41">
          <objectPr defaultSize="0" r:id="rId42">
            <anchor moveWithCells="1">
              <from>
                <xdr:col>3</xdr:col>
                <xdr:colOff>53340</xdr:colOff>
                <xdr:row>21</xdr:row>
                <xdr:rowOff>22860</xdr:rowOff>
              </from>
              <to>
                <xdr:col>3</xdr:col>
                <xdr:colOff>388620</xdr:colOff>
                <xdr:row>21</xdr:row>
                <xdr:rowOff>273685</xdr:rowOff>
              </to>
            </anchor>
          </objectPr>
        </oleObject>
      </mc:Choice>
      <mc:Fallback>
        <oleObject shapeId="12361" progId="Equations" r:id="rId41"/>
      </mc:Fallback>
    </mc:AlternateContent>
    <mc:AlternateContent xmlns:mc="http://schemas.openxmlformats.org/markup-compatibility/2006">
      <mc:Choice Requires="x14">
        <oleObject shapeId="12362" progId="Equations" r:id="rId43">
          <objectPr defaultSize="0" r:id="rId44">
            <anchor moveWithCells="1">
              <from>
                <xdr:col>0</xdr:col>
                <xdr:colOff>586740</xdr:colOff>
                <xdr:row>25</xdr:row>
                <xdr:rowOff>121920</xdr:rowOff>
              </from>
              <to>
                <xdr:col>1</xdr:col>
                <xdr:colOff>640080</xdr:colOff>
                <xdr:row>28</xdr:row>
                <xdr:rowOff>106680</xdr:rowOff>
              </to>
            </anchor>
          </objectPr>
        </oleObject>
      </mc:Choice>
      <mc:Fallback>
        <oleObject shapeId="12362" progId="Equations" r:id="rId43"/>
      </mc:Fallback>
    </mc:AlternateContent>
    <mc:AlternateContent xmlns:mc="http://schemas.openxmlformats.org/markup-compatibility/2006">
      <mc:Choice Requires="x14">
        <oleObject shapeId="12363" progId="Equations" r:id="rId45">
          <objectPr defaultSize="0" r:id="rId46">
            <anchor moveWithCells="1">
              <from>
                <xdr:col>2</xdr:col>
                <xdr:colOff>259080</xdr:colOff>
                <xdr:row>26</xdr:row>
                <xdr:rowOff>45720</xdr:rowOff>
              </from>
              <to>
                <xdr:col>2</xdr:col>
                <xdr:colOff>868045</xdr:colOff>
                <xdr:row>27</xdr:row>
                <xdr:rowOff>91440</xdr:rowOff>
              </to>
            </anchor>
          </objectPr>
        </oleObject>
      </mc:Choice>
      <mc:Fallback>
        <oleObject shapeId="12363" progId="Equations" r:id="rId45"/>
      </mc:Fallback>
    </mc:AlternateContent>
    <mc:AlternateContent xmlns:mc="http://schemas.openxmlformats.org/markup-compatibility/2006">
      <mc:Choice Requires="x14">
        <oleObject shapeId="12364" progId="Equations" r:id="rId47">
          <objectPr defaultSize="0" r:id="rId48">
            <anchor moveWithCells="1">
              <from>
                <xdr:col>4</xdr:col>
                <xdr:colOff>67945</xdr:colOff>
                <xdr:row>26</xdr:row>
                <xdr:rowOff>30480</xdr:rowOff>
              </from>
              <to>
                <xdr:col>5</xdr:col>
                <xdr:colOff>236220</xdr:colOff>
                <xdr:row>27</xdr:row>
                <xdr:rowOff>106680</xdr:rowOff>
              </to>
            </anchor>
          </objectPr>
        </oleObject>
      </mc:Choice>
      <mc:Fallback>
        <oleObject shapeId="12364" progId="Equations" r:id="rId47"/>
      </mc:Fallback>
    </mc:AlternateContent>
    <mc:AlternateContent xmlns:mc="http://schemas.openxmlformats.org/markup-compatibility/2006">
      <mc:Choice Requires="x14">
        <oleObject shapeId="12366" progId="Equations" r:id="rId49">
          <objectPr defaultSize="0" r:id="rId50">
            <anchor moveWithCells="1">
              <from>
                <xdr:col>2</xdr:col>
                <xdr:colOff>205740</xdr:colOff>
                <xdr:row>28</xdr:row>
                <xdr:rowOff>114300</xdr:rowOff>
              </from>
              <to>
                <xdr:col>2</xdr:col>
                <xdr:colOff>777240</xdr:colOff>
                <xdr:row>31</xdr:row>
                <xdr:rowOff>53340</xdr:rowOff>
              </to>
            </anchor>
          </objectPr>
        </oleObject>
      </mc:Choice>
      <mc:Fallback>
        <oleObject shapeId="12366" progId="Equations" r:id="rId49"/>
      </mc:Fallback>
    </mc:AlternateContent>
    <mc:AlternateContent xmlns:mc="http://schemas.openxmlformats.org/markup-compatibility/2006">
      <mc:Choice Requires="x14">
        <oleObject shapeId="12367" progId="Equations" r:id="rId51">
          <objectPr defaultSize="0" r:id="rId52">
            <anchor moveWithCells="1">
              <from>
                <xdr:col>3</xdr:col>
                <xdr:colOff>396240</xdr:colOff>
                <xdr:row>28</xdr:row>
                <xdr:rowOff>129540</xdr:rowOff>
              </from>
              <to>
                <xdr:col>5</xdr:col>
                <xdr:colOff>312420</xdr:colOff>
                <xdr:row>31</xdr:row>
                <xdr:rowOff>60960</xdr:rowOff>
              </to>
            </anchor>
          </objectPr>
        </oleObject>
      </mc:Choice>
      <mc:Fallback>
        <oleObject shapeId="12367" progId="Equations" r:id="rId51"/>
      </mc:Fallback>
    </mc:AlternateContent>
  </oleObjects>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191"/>
  <sheetViews>
    <sheetView workbookViewId="0">
      <selection activeCell="A111" sqref="A111:D119"/>
    </sheetView>
  </sheetViews>
  <sheetFormatPr defaultColWidth="9" defaultRowHeight="17.1" customHeight="1"/>
  <cols>
    <col min="1" max="4" width="15.625" style="893" customWidth="1"/>
    <col min="5" max="5" width="8.375" style="894" customWidth="1"/>
    <col min="6" max="6" width="14.375" style="894" customWidth="1"/>
    <col min="7" max="7" width="14" style="894" customWidth="1"/>
    <col min="8" max="11" width="13.625" style="894" customWidth="1"/>
    <col min="12" max="14" width="9" style="894" customWidth="1"/>
    <col min="15" max="16384" width="9" style="894"/>
  </cols>
  <sheetData>
    <row r="1" ht="21.95" customHeight="1" spans="1:5">
      <c r="A1" s="895" t="s">
        <v>334</v>
      </c>
      <c r="B1" s="895"/>
      <c r="C1" s="895"/>
      <c r="D1" s="895"/>
      <c r="E1" s="896"/>
    </row>
    <row r="2" customHeight="1" spans="1:7">
      <c r="A2" s="897" t="s">
        <v>335</v>
      </c>
      <c r="B2" s="898"/>
      <c r="C2" s="898"/>
      <c r="D2" s="899"/>
      <c r="F2" s="894" t="s">
        <v>336</v>
      </c>
      <c r="G2" s="900"/>
    </row>
    <row r="3" customHeight="1" spans="1:10">
      <c r="A3" s="901" t="s">
        <v>337</v>
      </c>
      <c r="B3" s="901"/>
      <c r="C3" s="901" t="s">
        <v>159</v>
      </c>
      <c r="D3" s="901" t="s">
        <v>65</v>
      </c>
      <c r="F3" s="1028" t="s">
        <v>338</v>
      </c>
      <c r="G3" s="907" t="s">
        <v>339</v>
      </c>
      <c r="H3" s="907"/>
      <c r="I3" s="907"/>
      <c r="J3" s="907"/>
    </row>
    <row r="4" customHeight="1" spans="1:10">
      <c r="A4" s="1059" t="s">
        <v>340</v>
      </c>
      <c r="B4" s="901" t="s">
        <v>341</v>
      </c>
      <c r="C4" s="909">
        <v>1</v>
      </c>
      <c r="D4" s="901" t="s">
        <v>342</v>
      </c>
      <c r="F4" s="1028"/>
      <c r="G4" s="948" t="s">
        <v>343</v>
      </c>
      <c r="H4" s="907" t="s">
        <v>344</v>
      </c>
      <c r="I4" s="907" t="s">
        <v>345</v>
      </c>
      <c r="J4" s="907" t="s">
        <v>346</v>
      </c>
    </row>
    <row r="5" customHeight="1" spans="1:10">
      <c r="A5" s="1060"/>
      <c r="B5" s="901" t="s">
        <v>347</v>
      </c>
      <c r="C5" s="956" t="str">
        <f>IF(D5=G11,"1.1",IF(D5=H11,"1.2",IF(D5=I11,"1.3",IF(D5=J11,"1.4","请在右侧在选择"))))</f>
        <v>1.2</v>
      </c>
      <c r="D5" s="1061" t="s">
        <v>348</v>
      </c>
      <c r="F5" s="907" t="s">
        <v>349</v>
      </c>
      <c r="G5" s="1062" t="s">
        <v>350</v>
      </c>
      <c r="H5" s="906">
        <v>1.1</v>
      </c>
      <c r="I5" s="906">
        <v>1.25</v>
      </c>
      <c r="J5" s="906">
        <v>1.5</v>
      </c>
    </row>
    <row r="6" customHeight="1" spans="1:10">
      <c r="A6" s="1060"/>
      <c r="B6" s="901" t="s">
        <v>351</v>
      </c>
      <c r="C6" s="956" t="str">
        <f>IF(D6=G26,"1",IF(D6=H26,"1.1",IF(D6=I26,"1.2",IF(D6=J26,"1.4","请在右侧在选择"))))</f>
        <v>1.2</v>
      </c>
      <c r="D6" s="1090" t="s">
        <v>352</v>
      </c>
      <c r="F6" s="907" t="s">
        <v>353</v>
      </c>
      <c r="G6" s="1062" t="s">
        <v>354</v>
      </c>
      <c r="H6" s="906">
        <v>1.35</v>
      </c>
      <c r="I6" s="906">
        <v>1.5</v>
      </c>
      <c r="J6" s="906">
        <v>1.75</v>
      </c>
    </row>
    <row r="7" customHeight="1" spans="1:10">
      <c r="A7" s="910">
        <f>C4*C5*C6*C7</f>
        <v>1.93968</v>
      </c>
      <c r="B7" s="901" t="s">
        <v>355</v>
      </c>
      <c r="C7" s="911">
        <v>1.347</v>
      </c>
      <c r="D7" s="901" t="s">
        <v>356</v>
      </c>
      <c r="F7" s="907" t="s">
        <v>357</v>
      </c>
      <c r="G7" s="1062" t="s">
        <v>358</v>
      </c>
      <c r="H7" s="906">
        <v>1.4</v>
      </c>
      <c r="I7" s="906">
        <v>1.75</v>
      </c>
      <c r="J7" s="906">
        <v>2</v>
      </c>
    </row>
    <row r="8" customHeight="1" spans="1:10">
      <c r="A8" s="945" t="s">
        <v>359</v>
      </c>
      <c r="B8" s="936" t="s">
        <v>360</v>
      </c>
      <c r="C8" s="909">
        <v>1</v>
      </c>
      <c r="D8" s="901" t="s">
        <v>361</v>
      </c>
      <c r="F8" s="907" t="s">
        <v>362</v>
      </c>
      <c r="G8" s="1062" t="s">
        <v>363</v>
      </c>
      <c r="H8" s="906">
        <v>1.85</v>
      </c>
      <c r="I8" s="906">
        <v>2</v>
      </c>
      <c r="J8" s="906" t="s">
        <v>364</v>
      </c>
    </row>
    <row r="9" customHeight="1" spans="1:4">
      <c r="A9" s="901" t="s">
        <v>365</v>
      </c>
      <c r="B9" s="901"/>
      <c r="C9" s="909">
        <v>3.2</v>
      </c>
      <c r="D9" s="901"/>
    </row>
    <row r="10" customHeight="1" spans="1:6">
      <c r="A10" s="912" t="s">
        <v>366</v>
      </c>
      <c r="B10" s="913"/>
      <c r="C10" s="909">
        <v>20</v>
      </c>
      <c r="D10" s="901" t="s">
        <v>367</v>
      </c>
      <c r="F10" s="894" t="s">
        <v>368</v>
      </c>
    </row>
    <row r="11" customHeight="1" spans="1:10">
      <c r="A11" s="1091" t="s">
        <v>369</v>
      </c>
      <c r="B11" s="1092"/>
      <c r="C11" s="909">
        <v>14</v>
      </c>
      <c r="D11" s="901" t="s">
        <v>370</v>
      </c>
      <c r="F11" s="992" t="s">
        <v>371</v>
      </c>
      <c r="G11" s="935" t="s">
        <v>372</v>
      </c>
      <c r="H11" s="935" t="s">
        <v>348</v>
      </c>
      <c r="I11" s="935" t="s">
        <v>373</v>
      </c>
      <c r="J11" s="935" t="s">
        <v>374</v>
      </c>
    </row>
    <row r="12" customHeight="1" spans="1:10">
      <c r="A12" s="912" t="s">
        <v>375</v>
      </c>
      <c r="B12" s="913"/>
      <c r="C12" s="916">
        <f>0.318*C8*B19*ROUND(TAN(RADIANS(C11)),3)</f>
        <v>1.900368</v>
      </c>
      <c r="D12" s="936" t="s">
        <v>376</v>
      </c>
      <c r="F12" s="906"/>
      <c r="G12" s="906">
        <v>1.1</v>
      </c>
      <c r="H12" s="906">
        <v>1.2</v>
      </c>
      <c r="I12" s="906">
        <v>1.3</v>
      </c>
      <c r="J12" s="906">
        <v>1.4</v>
      </c>
    </row>
    <row r="13" customHeight="1" spans="1:9">
      <c r="A13" s="912" t="s">
        <v>377</v>
      </c>
      <c r="B13" s="913"/>
      <c r="C13" s="916">
        <f>IF(C12&lt;1,1-0.25*C12/30*C11,1-0.25/30*C11)</f>
        <v>0.883333333333333</v>
      </c>
      <c r="D13" s="936"/>
      <c r="I13" s="987" t="s">
        <v>378</v>
      </c>
    </row>
    <row r="14" customHeight="1" spans="1:9">
      <c r="A14" s="912" t="s">
        <v>379</v>
      </c>
      <c r="B14" s="913"/>
      <c r="C14" s="916">
        <f>(B19*(TAN(ACOS(B19*COS(ATAN(TAN(RADIANS(C10))/COS(RADIANS(C11))))/(B19+2*COS(RADIANS(C11)))))-TAN(RADIANS(C10))/COS(RADIANS(C11)))+C19*(TAN(ACOS(C19*COS(ATAN(TAN(RADIANS(C10))/COS(RADIANS(C11))))/(C19+2*COS(RADIANS(C11)))))-TAN(RADIANS(C10))/COS(RADIANS(C11))))/(2*PI())</f>
        <v>1.63912279614726</v>
      </c>
      <c r="D14" s="936" t="s">
        <v>380</v>
      </c>
      <c r="I14" s="987"/>
    </row>
    <row r="15" customHeight="1" spans="1:4">
      <c r="A15" s="923" t="s">
        <v>381</v>
      </c>
      <c r="B15" s="965" t="s">
        <v>382</v>
      </c>
      <c r="C15" s="909">
        <v>10</v>
      </c>
      <c r="D15" s="901"/>
    </row>
    <row r="16" customHeight="1" spans="1:4">
      <c r="A16" s="923"/>
      <c r="B16" s="965" t="s">
        <v>383</v>
      </c>
      <c r="C16" s="909"/>
      <c r="D16" s="926">
        <f>IF(OR(C16="",C16=0),9549*C15/B26*1000,C16)</f>
        <v>99468.75</v>
      </c>
    </row>
    <row r="17" customHeight="1" spans="1:4">
      <c r="A17" s="1065"/>
      <c r="B17" s="1066"/>
      <c r="C17" s="1066"/>
      <c r="D17" s="1067"/>
    </row>
    <row r="18" customHeight="1" spans="1:4">
      <c r="A18" s="901" t="s">
        <v>158</v>
      </c>
      <c r="B18" s="901" t="s">
        <v>384</v>
      </c>
      <c r="C18" s="901" t="s">
        <v>385</v>
      </c>
      <c r="D18" s="901" t="s">
        <v>65</v>
      </c>
    </row>
    <row r="19" customHeight="1" spans="1:4">
      <c r="A19" s="901" t="s">
        <v>386</v>
      </c>
      <c r="B19" s="909">
        <v>24</v>
      </c>
      <c r="C19" s="956">
        <f>ROUND(B19*C9,0)</f>
        <v>77</v>
      </c>
      <c r="D19" s="901" t="s">
        <v>387</v>
      </c>
    </row>
    <row r="20" customHeight="1" spans="1:4">
      <c r="A20" s="901" t="s">
        <v>388</v>
      </c>
      <c r="B20" s="916">
        <f>B19/(COS(RADIANS(C11))^3)</f>
        <v>26.2723478849905</v>
      </c>
      <c r="C20" s="916">
        <f>C19/(COS(RADIANS(C11))^3)</f>
        <v>84.2904494643444</v>
      </c>
      <c r="D20" s="901" t="s">
        <v>389</v>
      </c>
    </row>
    <row r="21" customHeight="1" spans="1:4">
      <c r="A21" s="1068" t="s">
        <v>390</v>
      </c>
      <c r="B21" s="960">
        <f>IF(B20&lt;35,-0.0000570752776635208*((B20-16)/(ROUND(COS(RADIANS(C11)),3))^3)^3+0.00307677616500968*((B20-16)/(ROUND(COS(RADIANS(C11)),3))^3)^2-0.0688841305752419*((B20-16)/(ROUND(COS(RADIANS(C11)),3))^3)+3.03422577422526,IF(B20&lt;110,-0.00141414141414042*((B20/10-2)/(ROUND(COS(RADIANS(C11)),3))^3)^3+0.0267099567099223*((B20/10-2)/(ROUND(COS(RADIANS(C11)),3))^3)^2-0.18568542568536*((B20/10-2)/(ROUND(COS(RADIANS(C11)),3))^3)+2.6785714285711,IF(B20&lt;160,2.14,IF(B20&lt;210,2.12,2.1))))</f>
        <v>2.56730681366673</v>
      </c>
      <c r="C21" s="960">
        <f>IF(C20&lt;35,-0.0000570752776635208*((C20-16)/(ROUND(COS(RADIANS(C11)),3))^3)^3+0.00307677616500968*((C20-16)/(ROUND(COS(RADIANS(C11)),3))^3)^2-0.0688841305752419*((C20-16)/(ROUND(COS(RADIANS(C11)),3))^3)+3.03422577422526,IF(C20&lt;110,-0.00141414141414042*((C20/10-2)/(ROUND(COS(RADIANS(C11)),3))^3)^3+0.0267099567099223*((C20/10-2)/(ROUND(COS(RADIANS(C11)),3))^3)^2-0.18568542568536*((C20/10-2)/(ROUND(COS(RADIANS(C11)),3))^3)+2.6785714285711,IF(C20&lt;160,2.14,IF(C20&lt;210,2.12,2.1))))</f>
        <v>2.20163758299126</v>
      </c>
      <c r="D21" s="901"/>
    </row>
    <row r="22" customHeight="1" spans="1:4">
      <c r="A22" s="901" t="s">
        <v>391</v>
      </c>
      <c r="B22" s="916">
        <f>IF(B19&lt;35,0.0000291375291376905*((B19-16)/(ROUND(COS(RADIANS(C11)),3))^3)^3-0.00079295704295923*((B19-16)/(ROUND(COS(RADIANS(C11)),3))^3)^2+0.0139880952381617*((B19-16)/(ROUND(COS(RADIANS(C11)),3))^3)+1.50570429570396,IF(B19&lt;130,-0.0027083333*((B19/10-2)/(ROUND(COS(RADIANS(C11)),3))^3)^2+0.0474107143*((B19/10-2)/(ROUND(COS(RADIANS(C11)),3))^3)+1.5825892857,IF(B19&lt;160,1.83,IF(B19&lt;210,1.865,1.9))))</f>
        <v>1.58701441474073</v>
      </c>
      <c r="C22" s="916">
        <f>IF(C19&lt;35,0.0000291375291376905*((C19-16)/(ROUND(COS(RADIANS(C11)),3))^3)^3-0.00079295704295923*((C19-16)/(ROUND(COS(RADIANS(C11)),3))^3)^2+0.0139880952381617*((C19-16)/(ROUND(COS(RADIANS(C11)),3))^3)+1.50570429570396,IF(C19&lt;130,-0.0027083333*((C19/10-2)/(ROUND(COS(RADIANS(C11)),3))^3)^2+0.0474107143*((C19/10-2)/(ROUND(COS(RADIANS(C11)),3))^3)+1.5825892857,IF(C19&lt;160,1.83,IF(C19&lt;210,1.865,1.9))))</f>
        <v>1.77304944474792</v>
      </c>
      <c r="D22" s="901"/>
    </row>
    <row r="23" customHeight="1" spans="1:4">
      <c r="A23" s="901" t="s">
        <v>392</v>
      </c>
      <c r="B23" s="916">
        <f>B21*B22</f>
        <v>4.0743529203512</v>
      </c>
      <c r="C23" s="916">
        <f>C21*C22</f>
        <v>3.90361229405881</v>
      </c>
      <c r="D23" s="901"/>
    </row>
    <row r="24" customHeight="1" spans="1:4">
      <c r="A24" s="901" t="s">
        <v>393</v>
      </c>
      <c r="B24" s="909">
        <v>1</v>
      </c>
      <c r="C24" s="909">
        <v>1</v>
      </c>
      <c r="D24" s="901"/>
    </row>
    <row r="25" customHeight="1" spans="1:6">
      <c r="A25" s="901" t="s">
        <v>394</v>
      </c>
      <c r="B25" s="909">
        <f>2*8*300*15</f>
        <v>72000</v>
      </c>
      <c r="C25" s="909"/>
      <c r="D25" s="932" t="s">
        <v>395</v>
      </c>
      <c r="F25" s="894" t="s">
        <v>396</v>
      </c>
    </row>
    <row r="26" customHeight="1" spans="1:10">
      <c r="A26" s="901" t="s">
        <v>397</v>
      </c>
      <c r="B26" s="909">
        <v>960</v>
      </c>
      <c r="C26" s="956">
        <f>B26/C9</f>
        <v>300</v>
      </c>
      <c r="D26" s="901"/>
      <c r="F26" s="1093" t="s">
        <v>398</v>
      </c>
      <c r="G26" s="1094" t="s">
        <v>399</v>
      </c>
      <c r="H26" s="1093" t="s">
        <v>400</v>
      </c>
      <c r="I26" s="1093" t="s">
        <v>352</v>
      </c>
      <c r="J26" s="1101" t="s">
        <v>401</v>
      </c>
    </row>
    <row r="27" customHeight="1" spans="1:10">
      <c r="A27" s="901" t="s">
        <v>402</v>
      </c>
      <c r="B27" s="933">
        <f>60*B26*B24*B25</f>
        <v>4147200000</v>
      </c>
      <c r="C27" s="933">
        <f>60*C26*C24*B25</f>
        <v>1296000000</v>
      </c>
      <c r="D27" s="901" t="s">
        <v>403</v>
      </c>
      <c r="F27" s="1095"/>
      <c r="G27" s="1096" t="s">
        <v>404</v>
      </c>
      <c r="H27" s="927" t="s">
        <v>405</v>
      </c>
      <c r="I27" s="927" t="s">
        <v>406</v>
      </c>
      <c r="J27" s="1102"/>
    </row>
    <row r="28" customHeight="1" spans="1:10">
      <c r="A28" s="901" t="s">
        <v>407</v>
      </c>
      <c r="B28" s="909">
        <v>0.9</v>
      </c>
      <c r="C28" s="909">
        <v>0.95</v>
      </c>
      <c r="D28" s="901" t="s">
        <v>408</v>
      </c>
      <c r="F28" s="1097"/>
      <c r="G28" s="1098">
        <v>1</v>
      </c>
      <c r="H28" s="906">
        <v>1.1</v>
      </c>
      <c r="I28" s="906">
        <v>1.2</v>
      </c>
      <c r="J28" s="906">
        <v>1.4</v>
      </c>
    </row>
    <row r="29" customHeight="1" spans="1:10">
      <c r="A29" s="901" t="s">
        <v>409</v>
      </c>
      <c r="B29" s="909">
        <v>300</v>
      </c>
      <c r="C29" s="909">
        <v>250</v>
      </c>
      <c r="D29" s="901"/>
      <c r="F29" s="947"/>
      <c r="G29" s="915"/>
      <c r="H29" s="915"/>
      <c r="I29" s="915"/>
      <c r="J29" s="915"/>
    </row>
    <row r="30" customHeight="1" spans="1:10">
      <c r="A30" s="901" t="s">
        <v>410</v>
      </c>
      <c r="B30" s="909">
        <v>400</v>
      </c>
      <c r="C30" s="909">
        <v>380</v>
      </c>
      <c r="D30" s="901" t="s">
        <v>411</v>
      </c>
      <c r="F30" s="1085" t="s">
        <v>412</v>
      </c>
      <c r="G30" s="915"/>
      <c r="H30" s="915"/>
      <c r="I30" s="915"/>
      <c r="J30" s="915"/>
    </row>
    <row r="31" customHeight="1" spans="1:10">
      <c r="A31" s="901" t="s">
        <v>413</v>
      </c>
      <c r="B31" s="956">
        <f>B28*B30/1.5</f>
        <v>240</v>
      </c>
      <c r="C31" s="916">
        <f>C28*C30/1.5</f>
        <v>240.666666666667</v>
      </c>
      <c r="D31" s="936" t="s">
        <v>414</v>
      </c>
      <c r="F31" s="947"/>
      <c r="G31" s="915"/>
      <c r="H31" s="915"/>
      <c r="I31" s="915"/>
      <c r="J31" s="915"/>
    </row>
    <row r="32" customHeight="1" spans="1:10">
      <c r="A32" s="901" t="s">
        <v>415</v>
      </c>
      <c r="B32" s="1069">
        <f>B23/B31</f>
        <v>0.0169764705014633</v>
      </c>
      <c r="C32" s="1069">
        <f>C23/C31</f>
        <v>0.0162199956816848</v>
      </c>
      <c r="D32" s="901" t="s">
        <v>416</v>
      </c>
      <c r="F32" s="947"/>
      <c r="G32" s="915"/>
      <c r="H32" s="915"/>
      <c r="I32" s="915"/>
      <c r="J32" s="915"/>
    </row>
    <row r="33" customHeight="1" spans="1:10">
      <c r="A33" s="953"/>
      <c r="B33" s="990"/>
      <c r="C33" s="991"/>
      <c r="D33" s="901"/>
      <c r="F33" s="947"/>
      <c r="G33" s="915"/>
      <c r="H33" s="915"/>
      <c r="I33" s="915"/>
      <c r="J33" s="915"/>
    </row>
    <row r="34" customHeight="1" spans="1:10">
      <c r="A34" s="940" t="str">
        <f>IF(OR(C11="",C11=0),"直齿轮","斜齿轮")</f>
        <v>斜齿轮</v>
      </c>
      <c r="B34" s="1099" t="s">
        <v>417</v>
      </c>
      <c r="C34" s="1070">
        <f>IF(OR(C11=0,C11=""),IF(B32&gt;C32,(2*D16*A7/(C8*B19^2)*B32)^(1/3),(2*D16*A7/(C8*B19^2)*C32)^(1/3)),IF(B32&gt;C32,(2*D16*A7*C13*(COS(RADIANS(C11)))^2/(C8*B19^2*C14)*B32)^(1/3),(2*D16*A7*C13*(COS(RADIANS(C11)))^2/(C8*B19^2*C14)*C32)^(1/3)))</f>
        <v>1.79362236185949</v>
      </c>
      <c r="D34" s="901"/>
      <c r="F34" s="947"/>
      <c r="G34" s="915"/>
      <c r="H34" s="915"/>
      <c r="I34" s="915"/>
      <c r="J34" s="915"/>
    </row>
    <row r="35" customHeight="1" spans="1:10">
      <c r="A35" s="953"/>
      <c r="B35" s="990"/>
      <c r="C35" s="991"/>
      <c r="D35" s="901"/>
      <c r="F35" s="947"/>
      <c r="G35" s="915"/>
      <c r="H35" s="915"/>
      <c r="I35" s="915"/>
      <c r="J35" s="915"/>
    </row>
    <row r="36" customHeight="1" spans="1:10">
      <c r="A36" s="897" t="s">
        <v>418</v>
      </c>
      <c r="B36" s="970"/>
      <c r="C36" s="970"/>
      <c r="D36" s="971"/>
      <c r="G36" s="915"/>
      <c r="H36" s="915"/>
      <c r="I36" s="915"/>
      <c r="J36" s="915"/>
    </row>
    <row r="37" customHeight="1" spans="1:10">
      <c r="A37" s="901" t="s">
        <v>158</v>
      </c>
      <c r="B37" s="901" t="s">
        <v>384</v>
      </c>
      <c r="C37" s="901" t="s">
        <v>385</v>
      </c>
      <c r="D37" s="901" t="s">
        <v>65</v>
      </c>
      <c r="G37" s="915"/>
      <c r="H37" s="915"/>
      <c r="I37" s="915"/>
      <c r="J37" s="915"/>
    </row>
    <row r="38" customHeight="1" spans="1:10">
      <c r="A38" s="901" t="s">
        <v>402</v>
      </c>
      <c r="B38" s="1071">
        <f>B27</f>
        <v>4147200000</v>
      </c>
      <c r="C38" s="1071">
        <f>C27</f>
        <v>1296000000</v>
      </c>
      <c r="D38" s="901" t="s">
        <v>403</v>
      </c>
      <c r="G38" s="915"/>
      <c r="H38" s="915"/>
      <c r="I38" s="915"/>
      <c r="J38" s="915"/>
    </row>
    <row r="39" customHeight="1" spans="1:10">
      <c r="A39" s="901" t="s">
        <v>407</v>
      </c>
      <c r="B39" s="1072">
        <v>0.95</v>
      </c>
      <c r="C39" s="1072">
        <v>0.95</v>
      </c>
      <c r="D39" s="901" t="s">
        <v>419</v>
      </c>
      <c r="F39" s="947"/>
      <c r="G39" s="915"/>
      <c r="H39" s="915"/>
      <c r="I39" s="915"/>
      <c r="J39" s="915"/>
    </row>
    <row r="40" customHeight="1" spans="1:10">
      <c r="A40" s="901" t="s">
        <v>409</v>
      </c>
      <c r="B40" s="901">
        <f>B29</f>
        <v>300</v>
      </c>
      <c r="C40" s="901">
        <f>C29</f>
        <v>250</v>
      </c>
      <c r="D40" s="901"/>
      <c r="F40" s="947"/>
      <c r="G40" s="915"/>
      <c r="H40" s="915"/>
      <c r="I40" s="915"/>
      <c r="J40" s="915"/>
    </row>
    <row r="41" customHeight="1" spans="1:10">
      <c r="A41" s="901" t="s">
        <v>420</v>
      </c>
      <c r="B41" s="1072">
        <v>620</v>
      </c>
      <c r="C41" s="1072">
        <v>550</v>
      </c>
      <c r="D41" s="901" t="s">
        <v>421</v>
      </c>
      <c r="F41" s="947"/>
      <c r="G41" s="915"/>
      <c r="H41" s="915"/>
      <c r="I41" s="915"/>
      <c r="J41" s="915"/>
    </row>
    <row r="42" customHeight="1" spans="1:10">
      <c r="A42" s="901" t="s">
        <v>422</v>
      </c>
      <c r="B42" s="901">
        <f>B39*B41</f>
        <v>589</v>
      </c>
      <c r="C42" s="901">
        <f>C39*C41</f>
        <v>522.5</v>
      </c>
      <c r="D42" s="936" t="s">
        <v>423</v>
      </c>
      <c r="F42" s="947"/>
      <c r="G42" s="915"/>
      <c r="H42" s="915"/>
      <c r="I42" s="915"/>
      <c r="J42" s="915"/>
    </row>
    <row r="43" customHeight="1" spans="1:10">
      <c r="A43" s="901" t="s">
        <v>424</v>
      </c>
      <c r="B43" s="1074">
        <f>IF(B42&gt;C42,C42,B42)</f>
        <v>522.5</v>
      </c>
      <c r="C43" s="1075"/>
      <c r="D43" s="901" t="s">
        <v>425</v>
      </c>
      <c r="F43" s="947"/>
      <c r="G43" s="915"/>
      <c r="H43" s="915"/>
      <c r="I43" s="915"/>
      <c r="J43" s="915"/>
    </row>
    <row r="44" customHeight="1" spans="1:10">
      <c r="A44" s="912" t="s">
        <v>426</v>
      </c>
      <c r="B44" s="913"/>
      <c r="C44" s="1072">
        <v>189.8</v>
      </c>
      <c r="D44" s="901" t="s">
        <v>427</v>
      </c>
      <c r="F44" s="947"/>
      <c r="G44" s="915"/>
      <c r="H44" s="915"/>
      <c r="I44" s="915"/>
      <c r="J44" s="915"/>
    </row>
    <row r="45" customHeight="1" spans="1:10">
      <c r="A45" s="901" t="s">
        <v>428</v>
      </c>
      <c r="B45" s="901"/>
      <c r="C45" s="1100">
        <f>0.0000023827*C11^3-0.0004231831*C11^2+0.0010962897*C11+2.4969357485</f>
        <v>2.4358780455</v>
      </c>
      <c r="D45" s="901"/>
      <c r="F45" s="947"/>
      <c r="G45" s="915"/>
      <c r="H45" s="915"/>
      <c r="I45" s="915"/>
      <c r="J45" s="915"/>
    </row>
    <row r="46" customHeight="1" spans="1:10">
      <c r="A46" s="953"/>
      <c r="B46" s="990"/>
      <c r="C46" s="991"/>
      <c r="D46" s="906"/>
      <c r="F46" s="947" t="s">
        <v>429</v>
      </c>
      <c r="G46" s="915"/>
      <c r="H46" s="915"/>
      <c r="I46" s="915"/>
      <c r="J46" s="915"/>
    </row>
    <row r="47" customHeight="1" spans="1:6">
      <c r="A47" s="940" t="str">
        <f>IF(OR(C11="",C11=0),"直齿轮","斜齿轮")</f>
        <v>斜齿轮</v>
      </c>
      <c r="B47" s="1099" t="s">
        <v>430</v>
      </c>
      <c r="C47" s="1070">
        <f>IF(OR(C11=0,C11=""),2.32*(2*A7*D16/C8*(C9+1)/C9*(C44/B43)^2)^(1/3),(2*A7*D16/(C8*C14)*(C9+1)/C9*(C44*C45/B43)^2)^(1/3))</f>
        <v>62.3096279591627</v>
      </c>
      <c r="F47" s="894" t="s">
        <v>431</v>
      </c>
    </row>
    <row r="48" customHeight="1" spans="6:10">
      <c r="F48" s="935" t="s">
        <v>432</v>
      </c>
      <c r="G48" s="935" t="s">
        <v>433</v>
      </c>
      <c r="H48" s="935" t="s">
        <v>434</v>
      </c>
      <c r="I48" s="935" t="s">
        <v>435</v>
      </c>
      <c r="J48" s="935" t="s">
        <v>436</v>
      </c>
    </row>
    <row r="49" customHeight="1" spans="1:10">
      <c r="A49" s="897" t="s">
        <v>437</v>
      </c>
      <c r="B49" s="970"/>
      <c r="C49" s="970"/>
      <c r="D49" s="971"/>
      <c r="F49" s="935" t="s">
        <v>438</v>
      </c>
      <c r="G49" s="935" t="s">
        <v>439</v>
      </c>
      <c r="H49" s="935" t="s">
        <v>440</v>
      </c>
      <c r="I49" s="906">
        <v>0.5</v>
      </c>
      <c r="J49" s="935" t="s">
        <v>441</v>
      </c>
    </row>
    <row r="50" customHeight="1" spans="1:10">
      <c r="A50" s="983" t="s">
        <v>442</v>
      </c>
      <c r="B50" s="901" t="s">
        <v>443</v>
      </c>
      <c r="C50" s="1076">
        <f>1.15*C34</f>
        <v>2.06266571613841</v>
      </c>
      <c r="D50" s="983" t="s">
        <v>444</v>
      </c>
      <c r="F50" s="935" t="s">
        <v>445</v>
      </c>
      <c r="G50" s="935" t="s">
        <v>446</v>
      </c>
      <c r="H50" s="935" t="s">
        <v>447</v>
      </c>
      <c r="I50" s="935"/>
      <c r="J50" s="935"/>
    </row>
    <row r="51" customHeight="1" spans="1:4">
      <c r="A51" s="965" t="s">
        <v>448</v>
      </c>
      <c r="B51" s="901" t="s">
        <v>443</v>
      </c>
      <c r="C51" s="1077">
        <f>C34</f>
        <v>1.79362236185949</v>
      </c>
      <c r="D51" s="983"/>
    </row>
    <row r="52" customHeight="1" spans="1:6">
      <c r="A52" s="965"/>
      <c r="B52" s="901" t="s">
        <v>449</v>
      </c>
      <c r="C52" s="1077">
        <f>C47</f>
        <v>62.3096279591627</v>
      </c>
      <c r="D52" s="983"/>
      <c r="F52" s="894" t="s">
        <v>450</v>
      </c>
    </row>
    <row r="53" customHeight="1" spans="1:4">
      <c r="A53" s="983" t="s">
        <v>451</v>
      </c>
      <c r="B53" s="901" t="s">
        <v>452</v>
      </c>
      <c r="C53" s="901" t="s">
        <v>453</v>
      </c>
      <c r="D53" s="983" t="s">
        <v>454</v>
      </c>
    </row>
    <row r="54" customHeight="1" spans="1:4">
      <c r="A54" s="894"/>
      <c r="D54" s="894"/>
    </row>
    <row r="55" customHeight="1" spans="1:4">
      <c r="A55" s="894" t="s">
        <v>455</v>
      </c>
      <c r="D55" s="894"/>
    </row>
    <row r="56" customHeight="1" spans="1:4">
      <c r="A56" s="894"/>
      <c r="D56" s="894"/>
    </row>
    <row r="57" customHeight="1" spans="1:4">
      <c r="A57" s="894"/>
      <c r="D57" s="894"/>
    </row>
    <row r="58" customHeight="1" spans="1:4">
      <c r="A58" s="894"/>
      <c r="D58" s="894"/>
    </row>
    <row r="59" customHeight="1" spans="1:4">
      <c r="A59" s="894"/>
      <c r="D59" s="894"/>
    </row>
    <row r="60" customHeight="1" spans="1:4">
      <c r="A60" s="894"/>
      <c r="D60" s="894"/>
    </row>
    <row r="61" customHeight="1" spans="1:4">
      <c r="A61" s="894"/>
      <c r="D61" s="894"/>
    </row>
    <row r="62" customHeight="1" spans="1:4">
      <c r="A62" s="894"/>
      <c r="D62" s="894"/>
    </row>
    <row r="63" customHeight="1" spans="1:4">
      <c r="A63" s="894"/>
      <c r="D63" s="894"/>
    </row>
    <row r="64" customHeight="1" spans="1:4">
      <c r="A64" s="894"/>
      <c r="D64" s="894"/>
    </row>
    <row r="65" customHeight="1" spans="1:4">
      <c r="A65" s="894"/>
      <c r="D65" s="894"/>
    </row>
    <row r="66" customHeight="1" spans="1:4">
      <c r="A66" s="894"/>
      <c r="D66" s="894"/>
    </row>
    <row r="67" customHeight="1" spans="1:4">
      <c r="A67" s="894"/>
      <c r="D67" s="894"/>
    </row>
    <row r="68" customHeight="1" spans="1:4">
      <c r="A68" s="894"/>
      <c r="D68" s="894"/>
    </row>
    <row r="69" customHeight="1" spans="1:6">
      <c r="A69" s="894"/>
      <c r="D69" s="894"/>
      <c r="F69" s="894" t="s">
        <v>456</v>
      </c>
    </row>
    <row r="70" customHeight="1" spans="1:4">
      <c r="A70" s="894"/>
      <c r="D70" s="894"/>
    </row>
    <row r="71" customHeight="1" spans="1:4">
      <c r="A71" s="894"/>
      <c r="D71" s="894"/>
    </row>
    <row r="72" customHeight="1" spans="1:4">
      <c r="A72" s="894"/>
      <c r="D72" s="894"/>
    </row>
    <row r="73" customHeight="1" spans="1:4">
      <c r="A73" s="894"/>
      <c r="D73" s="894"/>
    </row>
    <row r="74" customHeight="1" spans="1:4">
      <c r="A74" s="894"/>
      <c r="D74" s="894"/>
    </row>
    <row r="75" customHeight="1" spans="1:4">
      <c r="A75" s="894" t="s">
        <v>457</v>
      </c>
      <c r="D75" s="894"/>
    </row>
    <row r="76" customHeight="1" spans="1:4">
      <c r="A76" s="894"/>
      <c r="D76" s="894"/>
    </row>
    <row r="77" customHeight="1" spans="1:4">
      <c r="A77" s="894"/>
      <c r="D77" s="894"/>
    </row>
    <row r="78" customHeight="1" spans="1:4">
      <c r="A78" s="894"/>
      <c r="D78" s="894"/>
    </row>
    <row r="79" customHeight="1" spans="1:4">
      <c r="A79" s="894"/>
      <c r="D79" s="894"/>
    </row>
    <row r="80" customHeight="1" spans="1:4">
      <c r="A80" s="894"/>
      <c r="D80" s="894"/>
    </row>
    <row r="81" customHeight="1" spans="1:4">
      <c r="A81" s="894"/>
      <c r="D81" s="894"/>
    </row>
    <row r="82" customHeight="1" spans="1:4">
      <c r="A82" s="894"/>
      <c r="D82" s="894"/>
    </row>
    <row r="83" customHeight="1" spans="1:4">
      <c r="A83" s="894"/>
      <c r="D83" s="894"/>
    </row>
    <row r="84" customHeight="1" spans="1:4">
      <c r="A84" s="894"/>
      <c r="D84" s="894"/>
    </row>
    <row r="85" customHeight="1" spans="1:4">
      <c r="A85" s="894"/>
      <c r="D85" s="894"/>
    </row>
    <row r="86" customHeight="1" spans="1:4">
      <c r="A86" s="894"/>
      <c r="D86" s="894"/>
    </row>
    <row r="87" customHeight="1" spans="1:4">
      <c r="A87" s="894"/>
      <c r="D87" s="894"/>
    </row>
    <row r="88" customHeight="1" spans="1:4">
      <c r="A88" s="894"/>
      <c r="D88" s="894"/>
    </row>
    <row r="89" customHeight="1" spans="1:4">
      <c r="A89" s="894"/>
      <c r="D89" s="894"/>
    </row>
    <row r="90" customHeight="1" spans="1:4">
      <c r="A90" s="894"/>
      <c r="D90" s="894"/>
    </row>
    <row r="91" customHeight="1" spans="1:4">
      <c r="A91" s="894"/>
      <c r="D91" s="894"/>
    </row>
    <row r="92" customHeight="1" spans="1:4">
      <c r="A92" s="894"/>
      <c r="D92" s="894"/>
    </row>
    <row r="93" customHeight="1" spans="1:4">
      <c r="A93" s="894"/>
      <c r="D93" s="894"/>
    </row>
    <row r="94" customHeight="1" spans="1:6">
      <c r="A94" s="894"/>
      <c r="D94" s="894"/>
      <c r="F94" s="894" t="s">
        <v>458</v>
      </c>
    </row>
    <row r="95" customHeight="1" spans="6:11">
      <c r="F95" s="1027" t="s">
        <v>459</v>
      </c>
      <c r="G95" s="907" t="s">
        <v>460</v>
      </c>
      <c r="H95" s="907"/>
      <c r="I95" s="907"/>
      <c r="J95" s="907"/>
      <c r="K95" s="907"/>
    </row>
    <row r="96" customHeight="1" spans="1:11">
      <c r="A96" s="802" t="s">
        <v>461</v>
      </c>
      <c r="B96" s="803"/>
      <c r="C96" s="803"/>
      <c r="D96" s="804"/>
      <c r="F96" s="1078"/>
      <c r="G96" s="935" t="s">
        <v>462</v>
      </c>
      <c r="H96" s="935" t="s">
        <v>108</v>
      </c>
      <c r="I96" s="935" t="s">
        <v>463</v>
      </c>
      <c r="J96" s="935" t="s">
        <v>464</v>
      </c>
      <c r="K96" s="935" t="s">
        <v>465</v>
      </c>
    </row>
    <row r="97" customHeight="1" spans="1:11">
      <c r="A97" s="805"/>
      <c r="B97" s="806"/>
      <c r="C97" s="806"/>
      <c r="D97" s="807"/>
      <c r="F97" s="1078"/>
      <c r="G97" s="935" t="s">
        <v>466</v>
      </c>
      <c r="H97" s="935" t="s">
        <v>467</v>
      </c>
      <c r="I97" s="935" t="s">
        <v>468</v>
      </c>
      <c r="J97" s="935" t="s">
        <v>469</v>
      </c>
      <c r="K97" s="935" t="s">
        <v>470</v>
      </c>
    </row>
    <row r="98" customHeight="1" spans="1:11">
      <c r="A98" s="805"/>
      <c r="B98" s="806"/>
      <c r="C98" s="806"/>
      <c r="D98" s="807"/>
      <c r="F98" s="935" t="s">
        <v>464</v>
      </c>
      <c r="G98" s="935">
        <v>162</v>
      </c>
      <c r="H98" s="935">
        <v>181.4</v>
      </c>
      <c r="I98" s="935">
        <v>188.9</v>
      </c>
      <c r="J98" s="935">
        <v>189.8</v>
      </c>
      <c r="K98" s="935">
        <v>56.4</v>
      </c>
    </row>
    <row r="99" customHeight="1" spans="1:11">
      <c r="A99" s="805"/>
      <c r="B99" s="806"/>
      <c r="C99" s="806"/>
      <c r="D99" s="807"/>
      <c r="F99" s="935" t="s">
        <v>463</v>
      </c>
      <c r="G99" s="935">
        <v>161.4</v>
      </c>
      <c r="H99" s="935">
        <v>180.5</v>
      </c>
      <c r="I99" s="935">
        <v>188</v>
      </c>
      <c r="J99" s="1036"/>
      <c r="K99" s="1036"/>
    </row>
    <row r="100" customHeight="1" spans="1:11">
      <c r="A100" s="805"/>
      <c r="B100" s="806"/>
      <c r="C100" s="806"/>
      <c r="D100" s="807"/>
      <c r="F100" s="935" t="s">
        <v>108</v>
      </c>
      <c r="G100" s="935">
        <v>156.6</v>
      </c>
      <c r="H100" s="935">
        <v>173.9</v>
      </c>
      <c r="I100" s="1036"/>
      <c r="J100" s="1036"/>
      <c r="K100" s="1036"/>
    </row>
    <row r="101" customHeight="1" spans="1:11">
      <c r="A101" s="805"/>
      <c r="B101" s="806"/>
      <c r="C101" s="806"/>
      <c r="D101" s="807"/>
      <c r="F101" s="935" t="s">
        <v>462</v>
      </c>
      <c r="G101" s="935">
        <v>143.7</v>
      </c>
      <c r="H101" s="1036"/>
      <c r="I101" s="1036"/>
      <c r="J101" s="1036"/>
      <c r="K101" s="1036"/>
    </row>
    <row r="102" customHeight="1" spans="1:6">
      <c r="A102" s="805"/>
      <c r="B102" s="806"/>
      <c r="C102" s="806"/>
      <c r="D102" s="807"/>
      <c r="F102" s="894" t="s">
        <v>471</v>
      </c>
    </row>
    <row r="103" customHeight="1" spans="1:4">
      <c r="A103" s="805"/>
      <c r="B103" s="806"/>
      <c r="C103" s="806"/>
      <c r="D103" s="807"/>
    </row>
    <row r="104" customHeight="1" spans="1:4">
      <c r="A104" s="805"/>
      <c r="B104" s="806"/>
      <c r="C104" s="806"/>
      <c r="D104" s="807"/>
    </row>
    <row r="105" customHeight="1" spans="1:4">
      <c r="A105" s="805"/>
      <c r="B105" s="806"/>
      <c r="C105" s="806"/>
      <c r="D105" s="807"/>
    </row>
    <row r="106" customHeight="1" spans="1:4">
      <c r="A106" s="805"/>
      <c r="B106" s="806"/>
      <c r="C106" s="806"/>
      <c r="D106" s="807"/>
    </row>
    <row r="107" customHeight="1" spans="1:4">
      <c r="A107" s="805"/>
      <c r="B107" s="806"/>
      <c r="C107" s="806"/>
      <c r="D107" s="807"/>
    </row>
    <row r="108" customHeight="1" spans="1:4">
      <c r="A108" s="805"/>
      <c r="B108" s="806"/>
      <c r="C108" s="806"/>
      <c r="D108" s="807"/>
    </row>
    <row r="109" customHeight="1" spans="1:4">
      <c r="A109" s="805"/>
      <c r="B109" s="806"/>
      <c r="C109" s="806"/>
      <c r="D109" s="807"/>
    </row>
    <row r="110" customHeight="1" spans="1:4">
      <c r="A110" s="808"/>
      <c r="B110" s="809"/>
      <c r="C110" s="809"/>
      <c r="D110" s="810"/>
    </row>
    <row r="111" customHeight="1" spans="1:4">
      <c r="A111" s="802" t="s">
        <v>472</v>
      </c>
      <c r="B111" s="803"/>
      <c r="C111" s="803"/>
      <c r="D111" s="804"/>
    </row>
    <row r="112" customHeight="1" spans="1:4">
      <c r="A112" s="805"/>
      <c r="B112" s="806"/>
      <c r="C112" s="806"/>
      <c r="D112" s="807"/>
    </row>
    <row r="113" customHeight="1" spans="1:4">
      <c r="A113" s="805"/>
      <c r="B113" s="806"/>
      <c r="C113" s="806"/>
      <c r="D113" s="807"/>
    </row>
    <row r="114" customHeight="1" spans="1:4">
      <c r="A114" s="805"/>
      <c r="B114" s="806"/>
      <c r="C114" s="806"/>
      <c r="D114" s="807"/>
    </row>
    <row r="115" customHeight="1" spans="1:4">
      <c r="A115" s="805"/>
      <c r="B115" s="806"/>
      <c r="C115" s="806"/>
      <c r="D115" s="807"/>
    </row>
    <row r="116" customHeight="1" spans="1:4">
      <c r="A116" s="805"/>
      <c r="B116" s="806"/>
      <c r="C116" s="806"/>
      <c r="D116" s="807"/>
    </row>
    <row r="117" customHeight="1" spans="1:4">
      <c r="A117" s="805"/>
      <c r="B117" s="806"/>
      <c r="C117" s="806"/>
      <c r="D117" s="807"/>
    </row>
    <row r="118" customHeight="1" spans="1:4">
      <c r="A118" s="805"/>
      <c r="B118" s="806"/>
      <c r="C118" s="806"/>
      <c r="D118" s="807"/>
    </row>
    <row r="119" customHeight="1" spans="1:4">
      <c r="A119" s="808"/>
      <c r="B119" s="809"/>
      <c r="C119" s="809"/>
      <c r="D119" s="810"/>
    </row>
    <row r="120" customHeight="1" spans="1:13">
      <c r="A120" s="1103" t="s">
        <v>473</v>
      </c>
      <c r="B120" s="1104"/>
      <c r="C120" s="1104"/>
      <c r="D120" s="1104"/>
      <c r="E120" s="1105"/>
      <c r="F120" s="1105"/>
      <c r="G120" s="1105"/>
      <c r="H120" s="1105"/>
      <c r="I120" s="1105"/>
      <c r="J120" s="1105"/>
      <c r="K120" s="1105"/>
      <c r="L120" s="1105"/>
      <c r="M120" s="1105"/>
    </row>
    <row r="121" customHeight="1" spans="1:4">
      <c r="A121" s="894" t="s">
        <v>474</v>
      </c>
      <c r="D121" s="894"/>
    </row>
    <row r="122" customHeight="1" spans="1:4">
      <c r="A122" s="1106" t="s">
        <v>475</v>
      </c>
      <c r="B122" s="1086" t="s">
        <v>476</v>
      </c>
      <c r="C122" s="1107" t="s">
        <v>475</v>
      </c>
      <c r="D122" s="1108" t="s">
        <v>476</v>
      </c>
    </row>
    <row r="123" customHeight="1" spans="1:4">
      <c r="A123" s="1109" t="s">
        <v>477</v>
      </c>
      <c r="B123" s="1087" t="s">
        <v>478</v>
      </c>
      <c r="C123" s="1110" t="s">
        <v>479</v>
      </c>
      <c r="D123" s="1111" t="s">
        <v>480</v>
      </c>
    </row>
    <row r="124" customHeight="1" spans="1:4">
      <c r="A124" s="1109" t="s">
        <v>481</v>
      </c>
      <c r="B124" s="1087" t="s">
        <v>482</v>
      </c>
      <c r="C124" s="1110" t="s">
        <v>483</v>
      </c>
      <c r="D124" s="1111" t="s">
        <v>480</v>
      </c>
    </row>
    <row r="125" customHeight="1" spans="1:4">
      <c r="A125" s="1109" t="s">
        <v>484</v>
      </c>
      <c r="B125" s="1087" t="s">
        <v>485</v>
      </c>
      <c r="C125" s="1110" t="s">
        <v>486</v>
      </c>
      <c r="D125" s="1111" t="s">
        <v>487</v>
      </c>
    </row>
    <row r="126" customHeight="1" spans="1:4">
      <c r="A126" s="1109" t="s">
        <v>488</v>
      </c>
      <c r="B126" s="1087" t="s">
        <v>489</v>
      </c>
      <c r="C126" s="1110" t="s">
        <v>490</v>
      </c>
      <c r="D126" s="1111" t="s">
        <v>491</v>
      </c>
    </row>
    <row r="127" customHeight="1" spans="1:4">
      <c r="A127" s="1112" t="s">
        <v>492</v>
      </c>
      <c r="B127" s="1088" t="s">
        <v>493</v>
      </c>
      <c r="C127" s="1113" t="s">
        <v>494</v>
      </c>
      <c r="D127" s="1114" t="s">
        <v>495</v>
      </c>
    </row>
    <row r="128" customHeight="1" spans="1:4">
      <c r="A128" s="1025"/>
      <c r="B128" s="1056"/>
      <c r="C128" s="1056"/>
      <c r="D128" s="1025"/>
    </row>
    <row r="129" customHeight="1" spans="1:4">
      <c r="A129" s="1025"/>
      <c r="B129" s="1056"/>
      <c r="C129" s="1056"/>
      <c r="D129" s="1025"/>
    </row>
    <row r="164" customHeight="1" spans="1:4">
      <c r="A164" s="894" t="s">
        <v>496</v>
      </c>
      <c r="D164" s="894"/>
    </row>
    <row r="165" customHeight="1" spans="1:6">
      <c r="A165" s="1115" t="s">
        <v>497</v>
      </c>
      <c r="B165" s="1116" t="s">
        <v>498</v>
      </c>
      <c r="C165" s="1086" t="s">
        <v>499</v>
      </c>
      <c r="D165" s="1115" t="s">
        <v>497</v>
      </c>
      <c r="E165" s="1116" t="s">
        <v>498</v>
      </c>
      <c r="F165" s="1086" t="s">
        <v>499</v>
      </c>
    </row>
    <row r="166" customHeight="1" spans="1:6">
      <c r="A166" s="1117">
        <v>17</v>
      </c>
      <c r="B166" s="1118">
        <v>2.97</v>
      </c>
      <c r="C166" s="1119">
        <v>1.52</v>
      </c>
      <c r="D166" s="1117">
        <v>30</v>
      </c>
      <c r="E166" s="906">
        <v>2.52</v>
      </c>
      <c r="F166" s="1087">
        <v>1.625</v>
      </c>
    </row>
    <row r="167" customHeight="1" spans="1:6">
      <c r="A167" s="1117">
        <v>18</v>
      </c>
      <c r="B167" s="1118">
        <v>2.91</v>
      </c>
      <c r="C167" s="1119">
        <v>1.53</v>
      </c>
      <c r="D167" s="1117">
        <v>35</v>
      </c>
      <c r="E167" s="906">
        <v>2.45</v>
      </c>
      <c r="F167" s="1087">
        <v>1.65</v>
      </c>
    </row>
    <row r="168" customHeight="1" spans="1:6">
      <c r="A168" s="1117">
        <v>19</v>
      </c>
      <c r="B168" s="1118">
        <v>2.85</v>
      </c>
      <c r="C168" s="1119">
        <v>1.54</v>
      </c>
      <c r="D168" s="1117">
        <v>40</v>
      </c>
      <c r="E168" s="906">
        <v>2.4</v>
      </c>
      <c r="F168" s="1087">
        <v>1.67</v>
      </c>
    </row>
    <row r="169" customHeight="1" spans="1:6">
      <c r="A169" s="1117">
        <v>20</v>
      </c>
      <c r="B169" s="1118">
        <v>2.8</v>
      </c>
      <c r="C169" s="1119">
        <v>1.55</v>
      </c>
      <c r="D169" s="1117">
        <v>45</v>
      </c>
      <c r="E169" s="906">
        <v>2.35</v>
      </c>
      <c r="F169" s="1087">
        <v>1.68</v>
      </c>
    </row>
    <row r="170" customHeight="1" spans="1:6">
      <c r="A170" s="1117">
        <v>21</v>
      </c>
      <c r="B170" s="1118">
        <v>2.76</v>
      </c>
      <c r="C170" s="1119">
        <v>1.56</v>
      </c>
      <c r="D170" s="1117">
        <v>50</v>
      </c>
      <c r="E170" s="906">
        <v>2.32</v>
      </c>
      <c r="F170" s="1087">
        <v>1.7</v>
      </c>
    </row>
    <row r="171" customHeight="1" spans="1:6">
      <c r="A171" s="1117">
        <v>22</v>
      </c>
      <c r="B171" s="1118">
        <v>2.72</v>
      </c>
      <c r="C171" s="1119">
        <v>1.57</v>
      </c>
      <c r="D171" s="1117">
        <v>60</v>
      </c>
      <c r="E171" s="906">
        <v>2.28</v>
      </c>
      <c r="F171" s="1087">
        <v>1.73</v>
      </c>
    </row>
    <row r="172" customHeight="1" spans="1:6">
      <c r="A172" s="1117">
        <v>23</v>
      </c>
      <c r="B172" s="1118">
        <v>2.69</v>
      </c>
      <c r="C172" s="1119">
        <v>1.575</v>
      </c>
      <c r="D172" s="1117">
        <v>70</v>
      </c>
      <c r="E172" s="906">
        <v>2.24</v>
      </c>
      <c r="F172" s="1087">
        <v>1.75</v>
      </c>
    </row>
    <row r="173" customHeight="1" spans="1:6">
      <c r="A173" s="1117">
        <v>24</v>
      </c>
      <c r="B173" s="1118">
        <v>2.65</v>
      </c>
      <c r="C173" s="1119">
        <v>1.58</v>
      </c>
      <c r="D173" s="1117">
        <v>80</v>
      </c>
      <c r="E173" s="906">
        <v>2.22</v>
      </c>
      <c r="F173" s="1087">
        <v>1.77</v>
      </c>
    </row>
    <row r="174" customHeight="1" spans="1:6">
      <c r="A174" s="1117">
        <v>25</v>
      </c>
      <c r="B174" s="1118">
        <v>2.62</v>
      </c>
      <c r="C174" s="1119">
        <v>1.59</v>
      </c>
      <c r="D174" s="1117">
        <v>90</v>
      </c>
      <c r="E174" s="906">
        <v>2.2</v>
      </c>
      <c r="F174" s="1087">
        <v>1.78</v>
      </c>
    </row>
    <row r="175" customHeight="1" spans="1:6">
      <c r="A175" s="1117">
        <v>26</v>
      </c>
      <c r="B175" s="1118">
        <v>2.6</v>
      </c>
      <c r="C175" s="1119">
        <v>1.595</v>
      </c>
      <c r="D175" s="1117">
        <v>100</v>
      </c>
      <c r="E175" s="906">
        <v>2.18</v>
      </c>
      <c r="F175" s="1087">
        <v>1.79</v>
      </c>
    </row>
    <row r="176" customHeight="1" spans="1:6">
      <c r="A176" s="1117">
        <v>27</v>
      </c>
      <c r="B176" s="1118">
        <v>2.57</v>
      </c>
      <c r="C176" s="1119">
        <v>1.6</v>
      </c>
      <c r="D176" s="1117">
        <v>150</v>
      </c>
      <c r="E176" s="906">
        <v>2.14</v>
      </c>
      <c r="F176" s="1087">
        <v>1.83</v>
      </c>
    </row>
    <row r="177" customHeight="1" spans="1:6">
      <c r="A177" s="1117">
        <v>28</v>
      </c>
      <c r="B177" s="1118">
        <v>2.55</v>
      </c>
      <c r="C177" s="1119">
        <v>1.61</v>
      </c>
      <c r="D177" s="1117">
        <v>200</v>
      </c>
      <c r="E177" s="906">
        <v>2.12</v>
      </c>
      <c r="F177" s="1087">
        <v>1.865</v>
      </c>
    </row>
    <row r="178" customHeight="1" spans="1:6">
      <c r="A178" s="1120">
        <v>29</v>
      </c>
      <c r="B178" s="1121">
        <v>2.53</v>
      </c>
      <c r="C178" s="1122">
        <v>1.62</v>
      </c>
      <c r="D178" s="1120" t="s">
        <v>500</v>
      </c>
      <c r="E178" s="925">
        <v>2.06</v>
      </c>
      <c r="F178" s="1088">
        <v>1.97</v>
      </c>
    </row>
    <row r="179" customHeight="1" spans="1:4">
      <c r="A179" s="894" t="s">
        <v>501</v>
      </c>
      <c r="D179" s="894"/>
    </row>
    <row r="180" customHeight="1" spans="5:6">
      <c r="E180" s="1036"/>
      <c r="F180" s="1036"/>
    </row>
    <row r="181" customHeight="1" spans="1:6">
      <c r="A181" s="893" t="s">
        <v>502</v>
      </c>
      <c r="E181" s="1036"/>
      <c r="F181" s="915"/>
    </row>
    <row r="182" customHeight="1" spans="1:6">
      <c r="A182" s="906" t="s">
        <v>503</v>
      </c>
      <c r="B182" s="906" t="s">
        <v>216</v>
      </c>
      <c r="C182" s="906" t="s">
        <v>504</v>
      </c>
      <c r="D182" s="906"/>
      <c r="E182" s="953" t="s">
        <v>65</v>
      </c>
      <c r="F182" s="991"/>
    </row>
    <row r="183" ht="51" customHeight="1" spans="1:6">
      <c r="A183" s="919" t="s">
        <v>505</v>
      </c>
      <c r="B183" s="906" t="s">
        <v>417</v>
      </c>
      <c r="C183" s="907"/>
      <c r="D183" s="907"/>
      <c r="E183" s="1123" t="s">
        <v>506</v>
      </c>
      <c r="F183" s="1089"/>
    </row>
    <row r="184" ht="50.1" customHeight="1" spans="1:6">
      <c r="A184" s="919"/>
      <c r="B184" s="906" t="s">
        <v>430</v>
      </c>
      <c r="C184" s="907"/>
      <c r="D184" s="907"/>
      <c r="E184" s="1123" t="s">
        <v>507</v>
      </c>
      <c r="F184" s="1089"/>
    </row>
    <row r="185" ht="27" customHeight="1" spans="1:6">
      <c r="A185" s="919"/>
      <c r="B185" s="906" t="s">
        <v>508</v>
      </c>
      <c r="C185" s="906" t="s">
        <v>509</v>
      </c>
      <c r="D185" s="906"/>
      <c r="E185" s="1123" t="s">
        <v>510</v>
      </c>
      <c r="F185" s="1089"/>
    </row>
    <row r="186" ht="26.25" customHeight="1" spans="1:6">
      <c r="A186" s="919"/>
      <c r="B186" s="906" t="s">
        <v>511</v>
      </c>
      <c r="C186" s="906" t="s">
        <v>512</v>
      </c>
      <c r="D186" s="906"/>
      <c r="E186" s="1123" t="s">
        <v>513</v>
      </c>
      <c r="F186" s="1089"/>
    </row>
    <row r="187" ht="51.75" customHeight="1" spans="1:6">
      <c r="A187" s="919" t="s">
        <v>514</v>
      </c>
      <c r="B187" s="906" t="s">
        <v>417</v>
      </c>
      <c r="C187" s="907"/>
      <c r="D187" s="907"/>
      <c r="E187" s="1124" t="s">
        <v>515</v>
      </c>
      <c r="F187" s="1125"/>
    </row>
    <row r="188" ht="57" customHeight="1" spans="1:6">
      <c r="A188" s="919"/>
      <c r="B188" s="906" t="s">
        <v>430</v>
      </c>
      <c r="C188" s="907"/>
      <c r="D188" s="907"/>
      <c r="E188" s="1123"/>
      <c r="F188" s="1089"/>
    </row>
    <row r="189" ht="54" customHeight="1" spans="1:6">
      <c r="A189" s="919"/>
      <c r="B189" s="906" t="s">
        <v>516</v>
      </c>
      <c r="C189" s="907"/>
      <c r="D189" s="907"/>
      <c r="E189" s="1123"/>
      <c r="F189" s="1089"/>
    </row>
    <row r="190" ht="54.95" customHeight="1" spans="1:6">
      <c r="A190" s="919"/>
      <c r="B190" s="906" t="s">
        <v>517</v>
      </c>
      <c r="C190" s="907"/>
      <c r="D190" s="907"/>
      <c r="E190" s="1126" t="s">
        <v>518</v>
      </c>
      <c r="F190" s="1127"/>
    </row>
    <row r="191" ht="50.1" customHeight="1"/>
  </sheetData>
  <customSheetViews>
    <customSheetView guid="{27B96A40-A6B2-43F7-A93C-713F4207CB2A}">
      <selection activeCell="L18" sqref="L18"/>
      <pageMargins left="0.7" right="0.7" top="0.75" bottom="0.75" header="0.3" footer="0.3"/>
      <pageSetup paperSize="9" orientation="portrait"/>
      <headerFooter/>
    </customSheetView>
  </customSheetViews>
  <mergeCells count="50">
    <mergeCell ref="A1:D1"/>
    <mergeCell ref="A2:D2"/>
    <mergeCell ref="A3:B3"/>
    <mergeCell ref="G3:J3"/>
    <mergeCell ref="A9:B9"/>
    <mergeCell ref="A10:B10"/>
    <mergeCell ref="A11:B11"/>
    <mergeCell ref="A12:B12"/>
    <mergeCell ref="A13:B13"/>
    <mergeCell ref="A14:B14"/>
    <mergeCell ref="A17:D17"/>
    <mergeCell ref="B25:C25"/>
    <mergeCell ref="A33:C33"/>
    <mergeCell ref="A35:C35"/>
    <mergeCell ref="A36:D36"/>
    <mergeCell ref="B43:C43"/>
    <mergeCell ref="A44:B44"/>
    <mergeCell ref="A45:B45"/>
    <mergeCell ref="A46:C46"/>
    <mergeCell ref="A49:D49"/>
    <mergeCell ref="G95:K95"/>
    <mergeCell ref="C182:D182"/>
    <mergeCell ref="E182:F182"/>
    <mergeCell ref="C183:D183"/>
    <mergeCell ref="E183:F183"/>
    <mergeCell ref="C184:D184"/>
    <mergeCell ref="E184:F184"/>
    <mergeCell ref="C185:D185"/>
    <mergeCell ref="E185:F185"/>
    <mergeCell ref="C186:D186"/>
    <mergeCell ref="E186:F186"/>
    <mergeCell ref="C187:D187"/>
    <mergeCell ref="E187:F187"/>
    <mergeCell ref="C188:D188"/>
    <mergeCell ref="E188:F188"/>
    <mergeCell ref="C189:D189"/>
    <mergeCell ref="E189:F189"/>
    <mergeCell ref="C190:D190"/>
    <mergeCell ref="E190:F190"/>
    <mergeCell ref="A4:A6"/>
    <mergeCell ref="A15:A16"/>
    <mergeCell ref="A51:A52"/>
    <mergeCell ref="A183:A186"/>
    <mergeCell ref="A187:A190"/>
    <mergeCell ref="F3:F4"/>
    <mergeCell ref="F11:F12"/>
    <mergeCell ref="F26:F28"/>
    <mergeCell ref="F95:F97"/>
    <mergeCell ref="A111:D119"/>
    <mergeCell ref="A96:D110"/>
  </mergeCells>
  <dataValidations count="2">
    <dataValidation type="list" allowBlank="1" showInputMessage="1" showErrorMessage="1" prompt="选择精度" sqref="D5">
      <formula1>$G$11:$J$11</formula1>
    </dataValidation>
    <dataValidation type="list" allowBlank="1" showInputMessage="1" showErrorMessage="1" prompt="选择条件" sqref="D6">
      <formula1>$G$26:$J$26</formula1>
    </dataValidation>
  </dataValidations>
  <pageMargins left="0.7" right="0.7" top="0.75" bottom="0.75" header="0.3" footer="0.3"/>
  <pageSetup paperSize="9" orientation="portrait"/>
  <headerFooter/>
  <drawing r:id="rId2"/>
  <legacyDrawing r:id="rId3"/>
  <oleObjects>
    <mc:AlternateContent xmlns:mc="http://schemas.openxmlformats.org/markup-compatibility/2006">
      <mc:Choice Requires="x14">
        <oleObject shapeId="1053" progId="Equations" r:id="rId4">
          <objectPr defaultSize="0" r:id="rId5">
            <anchor moveWithCells="1">
              <from>
                <xdr:col>3</xdr:col>
                <xdr:colOff>7620</xdr:colOff>
                <xdr:row>32</xdr:row>
                <xdr:rowOff>7620</xdr:rowOff>
              </from>
              <to>
                <xdr:col>4</xdr:col>
                <xdr:colOff>259080</xdr:colOff>
                <xdr:row>35</xdr:row>
                <xdr:rowOff>0</xdr:rowOff>
              </to>
            </anchor>
          </objectPr>
        </oleObject>
      </mc:Choice>
      <mc:Fallback>
        <oleObject shapeId="1053" progId="Equations" r:id="rId4"/>
      </mc:Fallback>
    </mc:AlternateContent>
    <mc:AlternateContent xmlns:mc="http://schemas.openxmlformats.org/markup-compatibility/2006">
      <mc:Choice Requires="x14">
        <oleObject shapeId="1069" progId="Equations" r:id="rId6">
          <objectPr defaultSize="0" r:id="rId7">
            <anchor moveWithCells="1">
              <from>
                <xdr:col>3</xdr:col>
                <xdr:colOff>7620</xdr:colOff>
                <xdr:row>45</xdr:row>
                <xdr:rowOff>7620</xdr:rowOff>
              </from>
              <to>
                <xdr:col>4</xdr:col>
                <xdr:colOff>426720</xdr:colOff>
                <xdr:row>48</xdr:row>
                <xdr:rowOff>0</xdr:rowOff>
              </to>
            </anchor>
          </objectPr>
        </oleObject>
      </mc:Choice>
      <mc:Fallback>
        <oleObject shapeId="1069" progId="Equations" r:id="rId6"/>
      </mc:Fallback>
    </mc:AlternateContent>
    <mc:AlternateContent xmlns:mc="http://schemas.openxmlformats.org/markup-compatibility/2006">
      <mc:Choice Requires="x14">
        <oleObject shapeId="1087" progId="Equations" r:id="rId8">
          <objectPr defaultSize="0" r:id="rId5">
            <anchor moveWithCells="1">
              <from>
                <xdr:col>2</xdr:col>
                <xdr:colOff>7620</xdr:colOff>
                <xdr:row>182</xdr:row>
                <xdr:rowOff>7620</xdr:rowOff>
              </from>
              <to>
                <xdr:col>3</xdr:col>
                <xdr:colOff>259080</xdr:colOff>
                <xdr:row>182</xdr:row>
                <xdr:rowOff>502920</xdr:rowOff>
              </to>
            </anchor>
          </objectPr>
        </oleObject>
      </mc:Choice>
      <mc:Fallback>
        <oleObject shapeId="1087" progId="Equations" r:id="rId8"/>
      </mc:Fallback>
    </mc:AlternateContent>
    <mc:AlternateContent xmlns:mc="http://schemas.openxmlformats.org/markup-compatibility/2006">
      <mc:Choice Requires="x14">
        <oleObject shapeId="1089" progId="Equations" r:id="rId9">
          <objectPr defaultSize="0" r:id="rId7">
            <anchor moveWithCells="1">
              <from>
                <xdr:col>2</xdr:col>
                <xdr:colOff>7620</xdr:colOff>
                <xdr:row>183</xdr:row>
                <xdr:rowOff>7620</xdr:rowOff>
              </from>
              <to>
                <xdr:col>3</xdr:col>
                <xdr:colOff>922020</xdr:colOff>
                <xdr:row>183</xdr:row>
                <xdr:rowOff>487680</xdr:rowOff>
              </to>
            </anchor>
          </objectPr>
        </oleObject>
      </mc:Choice>
      <mc:Fallback>
        <oleObject shapeId="1089" progId="Equations" r:id="rId9"/>
      </mc:Fallback>
    </mc:AlternateContent>
    <mc:AlternateContent xmlns:mc="http://schemas.openxmlformats.org/markup-compatibility/2006">
      <mc:Choice Requires="x14">
        <oleObject shapeId="1090" progId="Equations" r:id="rId10">
          <objectPr defaultSize="0" r:id="rId11">
            <anchor moveWithCells="1">
              <from>
                <xdr:col>2</xdr:col>
                <xdr:colOff>0</xdr:colOff>
                <xdr:row>186</xdr:row>
                <xdr:rowOff>0</xdr:rowOff>
              </from>
              <to>
                <xdr:col>3</xdr:col>
                <xdr:colOff>922020</xdr:colOff>
                <xdr:row>186</xdr:row>
                <xdr:rowOff>502920</xdr:rowOff>
              </to>
            </anchor>
          </objectPr>
        </oleObject>
      </mc:Choice>
      <mc:Fallback>
        <oleObject shapeId="1090" progId="Equations" r:id="rId10"/>
      </mc:Fallback>
    </mc:AlternateContent>
    <mc:AlternateContent xmlns:mc="http://schemas.openxmlformats.org/markup-compatibility/2006">
      <mc:Choice Requires="x14">
        <oleObject shapeId="1091" progId="Equations" r:id="rId12">
          <objectPr defaultSize="0" r:id="rId13">
            <anchor moveWithCells="1">
              <from>
                <xdr:col>2</xdr:col>
                <xdr:colOff>7620</xdr:colOff>
                <xdr:row>187</xdr:row>
                <xdr:rowOff>38100</xdr:rowOff>
              </from>
              <to>
                <xdr:col>3</xdr:col>
                <xdr:colOff>937260</xdr:colOff>
                <xdr:row>187</xdr:row>
                <xdr:rowOff>548005</xdr:rowOff>
              </to>
            </anchor>
          </objectPr>
        </oleObject>
      </mc:Choice>
      <mc:Fallback>
        <oleObject shapeId="1091" progId="Equations" r:id="rId12"/>
      </mc:Fallback>
    </mc:AlternateContent>
    <mc:AlternateContent xmlns:mc="http://schemas.openxmlformats.org/markup-compatibility/2006">
      <mc:Choice Requires="x14">
        <oleObject shapeId="1093" progId="Equations" r:id="rId14">
          <objectPr defaultSize="0" r:id="rId15">
            <anchor moveWithCells="1">
              <from>
                <xdr:col>2</xdr:col>
                <xdr:colOff>7620</xdr:colOff>
                <xdr:row>188</xdr:row>
                <xdr:rowOff>22860</xdr:rowOff>
              </from>
              <to>
                <xdr:col>5</xdr:col>
                <xdr:colOff>7620</xdr:colOff>
                <xdr:row>188</xdr:row>
                <xdr:rowOff>541020</xdr:rowOff>
              </to>
            </anchor>
          </objectPr>
        </oleObject>
      </mc:Choice>
      <mc:Fallback>
        <oleObject shapeId="1093" progId="Equations" r:id="rId14"/>
      </mc:Fallback>
    </mc:AlternateContent>
    <mc:AlternateContent xmlns:mc="http://schemas.openxmlformats.org/markup-compatibility/2006">
      <mc:Choice Requires="x14">
        <oleObject shapeId="1096" progId="Equations" r:id="rId16">
          <objectPr defaultSize="0" r:id="rId17">
            <anchor moveWithCells="1">
              <from>
                <xdr:col>4</xdr:col>
                <xdr:colOff>678180</xdr:colOff>
                <xdr:row>187</xdr:row>
                <xdr:rowOff>541020</xdr:rowOff>
              </from>
              <to>
                <xdr:col>6</xdr:col>
                <xdr:colOff>685800</xdr:colOff>
                <xdr:row>189</xdr:row>
                <xdr:rowOff>7620</xdr:rowOff>
              </to>
            </anchor>
          </objectPr>
        </oleObject>
      </mc:Choice>
      <mc:Fallback>
        <oleObject shapeId="1096" progId="Equations" r:id="rId16"/>
      </mc:Fallback>
    </mc:AlternateContent>
    <mc:AlternateContent xmlns:mc="http://schemas.openxmlformats.org/markup-compatibility/2006">
      <mc:Choice Requires="x14">
        <oleObject shapeId="1097" progId="Equations" r:id="rId18">
          <objectPr defaultSize="0" r:id="rId19">
            <anchor moveWithCells="1">
              <from>
                <xdr:col>6</xdr:col>
                <xdr:colOff>670560</xdr:colOff>
                <xdr:row>187</xdr:row>
                <xdr:rowOff>525780</xdr:rowOff>
              </from>
              <to>
                <xdr:col>8</xdr:col>
                <xdr:colOff>335280</xdr:colOff>
                <xdr:row>188</xdr:row>
                <xdr:rowOff>541020</xdr:rowOff>
              </to>
            </anchor>
          </objectPr>
        </oleObject>
      </mc:Choice>
      <mc:Fallback>
        <oleObject shapeId="1097" progId="Equations" r:id="rId18"/>
      </mc:Fallback>
    </mc:AlternateContent>
    <mc:AlternateContent xmlns:mc="http://schemas.openxmlformats.org/markup-compatibility/2006">
      <mc:Choice Requires="x14">
        <oleObject shapeId="1098" progId="Equations" r:id="rId20">
          <objectPr defaultSize="0" r:id="rId21">
            <anchor moveWithCells="1">
              <from>
                <xdr:col>5</xdr:col>
                <xdr:colOff>30480</xdr:colOff>
                <xdr:row>186</xdr:row>
                <xdr:rowOff>266700</xdr:rowOff>
              </from>
              <to>
                <xdr:col>5</xdr:col>
                <xdr:colOff>762000</xdr:colOff>
                <xdr:row>186</xdr:row>
                <xdr:rowOff>457200</xdr:rowOff>
              </to>
            </anchor>
          </objectPr>
        </oleObject>
      </mc:Choice>
      <mc:Fallback>
        <oleObject shapeId="1098" progId="Equations" r:id="rId20"/>
      </mc:Fallback>
    </mc:AlternateContent>
    <mc:AlternateContent xmlns:mc="http://schemas.openxmlformats.org/markup-compatibility/2006">
      <mc:Choice Requires="x14">
        <oleObject shapeId="1099" progId="Equations" r:id="rId22">
          <objectPr defaultSize="0" r:id="rId23">
            <anchor moveWithCells="1">
              <from>
                <xdr:col>2</xdr:col>
                <xdr:colOff>22860</xdr:colOff>
                <xdr:row>189</xdr:row>
                <xdr:rowOff>53340</xdr:rowOff>
              </from>
              <to>
                <xdr:col>4</xdr:col>
                <xdr:colOff>259080</xdr:colOff>
                <xdr:row>189</xdr:row>
                <xdr:rowOff>525780</xdr:rowOff>
              </to>
            </anchor>
          </objectPr>
        </oleObject>
      </mc:Choice>
      <mc:Fallback>
        <oleObject shapeId="1099" progId="Equations" r:id="rId22"/>
      </mc:Fallback>
    </mc:AlternateContent>
  </oleObjects>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192"/>
  <sheetViews>
    <sheetView workbookViewId="0">
      <selection activeCell="A1" sqref="A1:D1"/>
    </sheetView>
  </sheetViews>
  <sheetFormatPr defaultColWidth="9" defaultRowHeight="17.1" customHeight="1"/>
  <cols>
    <col min="1" max="4" width="15.625" style="893" customWidth="1"/>
    <col min="5" max="5" width="5.75" style="894" customWidth="1"/>
    <col min="6" max="6" width="14.375" style="894" customWidth="1"/>
    <col min="7" max="7" width="14" style="894" customWidth="1"/>
    <col min="8" max="11" width="13.625" style="894" customWidth="1"/>
    <col min="12" max="14" width="9" style="894" customWidth="1"/>
    <col min="15" max="16384" width="9" style="894"/>
  </cols>
  <sheetData>
    <row r="1" ht="21.95" customHeight="1" spans="1:5">
      <c r="A1" s="895" t="s">
        <v>519</v>
      </c>
      <c r="B1" s="895"/>
      <c r="C1" s="895"/>
      <c r="D1" s="895"/>
      <c r="E1" s="896"/>
    </row>
    <row r="2" customHeight="1" spans="1:7">
      <c r="A2" s="897" t="s">
        <v>335</v>
      </c>
      <c r="B2" s="898"/>
      <c r="C2" s="898"/>
      <c r="D2" s="899"/>
      <c r="F2" s="894" t="s">
        <v>336</v>
      </c>
      <c r="G2" s="900"/>
    </row>
    <row r="3" customHeight="1" spans="1:10">
      <c r="A3" s="901" t="s">
        <v>337</v>
      </c>
      <c r="B3" s="901"/>
      <c r="C3" s="901" t="s">
        <v>159</v>
      </c>
      <c r="D3" s="901" t="s">
        <v>65</v>
      </c>
      <c r="F3" s="1028" t="s">
        <v>338</v>
      </c>
      <c r="G3" s="907" t="s">
        <v>339</v>
      </c>
      <c r="H3" s="907"/>
      <c r="I3" s="907"/>
      <c r="J3" s="907"/>
    </row>
    <row r="4" customHeight="1" spans="1:10">
      <c r="A4" s="1059" t="s">
        <v>340</v>
      </c>
      <c r="B4" s="901" t="s">
        <v>341</v>
      </c>
      <c r="C4" s="909">
        <v>1</v>
      </c>
      <c r="D4" s="901" t="s">
        <v>342</v>
      </c>
      <c r="F4" s="1028"/>
      <c r="G4" s="948" t="s">
        <v>343</v>
      </c>
      <c r="H4" s="907" t="s">
        <v>344</v>
      </c>
      <c r="I4" s="907" t="s">
        <v>345</v>
      </c>
      <c r="J4" s="907" t="s">
        <v>346</v>
      </c>
    </row>
    <row r="5" customHeight="1" spans="1:10">
      <c r="A5" s="1060"/>
      <c r="B5" s="901" t="s">
        <v>347</v>
      </c>
      <c r="C5" s="956" t="str">
        <f>IF(D5=G11,"1.1",IF(D5=H11,"1.2",IF(D5=I11,"1.3",IF(D5=J11,"1.4","请在右侧在选择"))))</f>
        <v>1.3</v>
      </c>
      <c r="D5" s="1061" t="s">
        <v>373</v>
      </c>
      <c r="F5" s="907" t="s">
        <v>349</v>
      </c>
      <c r="G5" s="1062" t="s">
        <v>350</v>
      </c>
      <c r="H5" s="906">
        <v>1.1</v>
      </c>
      <c r="I5" s="906">
        <v>1.25</v>
      </c>
      <c r="J5" s="906">
        <v>1.5</v>
      </c>
    </row>
    <row r="6" customHeight="1" spans="1:10">
      <c r="A6" s="1060"/>
      <c r="B6" s="901" t="s">
        <v>351</v>
      </c>
      <c r="C6" s="956">
        <v>1</v>
      </c>
      <c r="D6" s="1063" t="s">
        <v>520</v>
      </c>
      <c r="F6" s="907" t="s">
        <v>353</v>
      </c>
      <c r="G6" s="1062" t="s">
        <v>354</v>
      </c>
      <c r="H6" s="906">
        <v>1.35</v>
      </c>
      <c r="I6" s="906">
        <v>1.5</v>
      </c>
      <c r="J6" s="906">
        <v>1.75</v>
      </c>
    </row>
    <row r="7" customHeight="1" spans="1:10">
      <c r="A7" s="910">
        <f>C4*C5*C6*C7</f>
        <v>1.43</v>
      </c>
      <c r="B7" s="901" t="s">
        <v>355</v>
      </c>
      <c r="C7" s="911">
        <v>1.1</v>
      </c>
      <c r="D7" s="901" t="s">
        <v>521</v>
      </c>
      <c r="F7" s="907" t="s">
        <v>357</v>
      </c>
      <c r="G7" s="1062" t="s">
        <v>358</v>
      </c>
      <c r="H7" s="906">
        <v>1.4</v>
      </c>
      <c r="I7" s="906">
        <v>1.75</v>
      </c>
      <c r="J7" s="906">
        <v>2</v>
      </c>
    </row>
    <row r="8" customHeight="1" spans="1:10">
      <c r="A8" s="945" t="s">
        <v>522</v>
      </c>
      <c r="B8" s="936" t="s">
        <v>523</v>
      </c>
      <c r="C8" s="1064">
        <f>1/3</f>
        <v>0.333333333333333</v>
      </c>
      <c r="D8" s="901" t="s">
        <v>524</v>
      </c>
      <c r="F8" s="907" t="s">
        <v>362</v>
      </c>
      <c r="G8" s="1062" t="s">
        <v>363</v>
      </c>
      <c r="H8" s="906">
        <v>1.85</v>
      </c>
      <c r="I8" s="906">
        <v>2</v>
      </c>
      <c r="J8" s="906" t="s">
        <v>364</v>
      </c>
    </row>
    <row r="9" customHeight="1" spans="1:4">
      <c r="A9" s="901" t="s">
        <v>365</v>
      </c>
      <c r="B9" s="901"/>
      <c r="C9" s="909">
        <v>2</v>
      </c>
      <c r="D9" s="901"/>
    </row>
    <row r="10" customHeight="1" spans="1:6">
      <c r="A10" s="923" t="s">
        <v>381</v>
      </c>
      <c r="B10" s="965" t="s">
        <v>382</v>
      </c>
      <c r="C10" s="909">
        <v>1</v>
      </c>
      <c r="D10" s="901"/>
      <c r="F10" s="894" t="s">
        <v>368</v>
      </c>
    </row>
    <row r="11" customHeight="1" spans="1:10">
      <c r="A11" s="923"/>
      <c r="B11" s="965" t="s">
        <v>383</v>
      </c>
      <c r="C11" s="909"/>
      <c r="D11" s="926">
        <f>IF(OR(C11="",C11=0),9549*C10/B22*1000,C11)</f>
        <v>9946.875</v>
      </c>
      <c r="F11" s="992" t="s">
        <v>371</v>
      </c>
      <c r="G11" s="935" t="s">
        <v>372</v>
      </c>
      <c r="H11" s="935" t="s">
        <v>348</v>
      </c>
      <c r="I11" s="935" t="s">
        <v>373</v>
      </c>
      <c r="J11" s="935" t="s">
        <v>374</v>
      </c>
    </row>
    <row r="12" customHeight="1" spans="1:10">
      <c r="A12" s="1065"/>
      <c r="B12" s="1066"/>
      <c r="C12" s="1066"/>
      <c r="D12" s="1067"/>
      <c r="F12" s="906"/>
      <c r="G12" s="906">
        <v>1.1</v>
      </c>
      <c r="H12" s="906">
        <v>1.2</v>
      </c>
      <c r="I12" s="906">
        <v>1.3</v>
      </c>
      <c r="J12" s="906">
        <v>1.4</v>
      </c>
    </row>
    <row r="13" customHeight="1" spans="1:9">
      <c r="A13" s="901" t="s">
        <v>158</v>
      </c>
      <c r="B13" s="901" t="s">
        <v>384</v>
      </c>
      <c r="C13" s="901" t="s">
        <v>385</v>
      </c>
      <c r="D13" s="901" t="s">
        <v>65</v>
      </c>
      <c r="I13" s="987" t="s">
        <v>378</v>
      </c>
    </row>
    <row r="14" customHeight="1" spans="1:6">
      <c r="A14" s="901" t="s">
        <v>386</v>
      </c>
      <c r="B14" s="909">
        <v>24</v>
      </c>
      <c r="C14" s="956">
        <f>ROUND(B14*C9,0)</f>
        <v>48</v>
      </c>
      <c r="D14" s="901" t="s">
        <v>387</v>
      </c>
      <c r="F14" s="894" t="s">
        <v>525</v>
      </c>
    </row>
    <row r="15" customHeight="1" spans="1:9">
      <c r="A15" s="901" t="s">
        <v>526</v>
      </c>
      <c r="B15" s="916">
        <f>DEGREES(ATAN(B14/C14))</f>
        <v>26.565051177078</v>
      </c>
      <c r="C15" s="916">
        <f>DEGREES(ATAN(C14/B14))</f>
        <v>63.434948822922</v>
      </c>
      <c r="D15" s="901" t="s">
        <v>527</v>
      </c>
      <c r="F15" s="1027" t="s">
        <v>528</v>
      </c>
      <c r="G15" s="1028" t="s">
        <v>529</v>
      </c>
      <c r="H15" s="1028"/>
      <c r="I15" s="1028"/>
    </row>
    <row r="16" customHeight="1" spans="1:9">
      <c r="A16" s="901" t="s">
        <v>530</v>
      </c>
      <c r="B16" s="916">
        <f>B14/COS(ATAN(B14/C14))</f>
        <v>26.8328157299975</v>
      </c>
      <c r="C16" s="916">
        <f>C14/COS(ATAN(C14/B14))</f>
        <v>107.33126291999</v>
      </c>
      <c r="D16" s="901" t="s">
        <v>531</v>
      </c>
      <c r="F16" s="1027"/>
      <c r="G16" s="934" t="s">
        <v>532</v>
      </c>
      <c r="H16" s="903" t="s">
        <v>533</v>
      </c>
      <c r="I16" s="934" t="s">
        <v>534</v>
      </c>
    </row>
    <row r="17" customHeight="1" spans="1:9">
      <c r="A17" s="1068" t="s">
        <v>390</v>
      </c>
      <c r="B17" s="960">
        <f>IF(B16&lt;35,-0.0000570752776635208*(B16-16)^3+0.00307677616500968*(B16-16)^2-0.0688841305752419*(B16-16)+3.03422577422526,IF(B16&lt;110,-0.00141414141414042*(B16/10-2)^3+0.0267099567099223*(B16/10-2)^2-0.18568542568536*(B16/10-2)+2.6785714285711,IF(B16&lt;160,2.14,IF(B16&lt;210,2.12,2.1))))</f>
        <v>2.57652025176605</v>
      </c>
      <c r="C17" s="960">
        <f>IF(C16&lt;35,-0.0000570752776635208*(C16-16)^3+0.00307677616500968*(C16-16)^2-0.0688841305752419*(C16-16)+3.03422577422526,IF(C16&lt;110,-0.00141414141414042*(C16/10-2)^3+0.0267099567099223*(C16/10-2)^2-0.18568542568536*(C16/10-2)+2.6785714285711,IF(C16&lt;160,2.14,IF(C16&lt;210,2.12,2.1))))</f>
        <v>2.15216457002792</v>
      </c>
      <c r="D17" s="901"/>
      <c r="F17" s="902" t="s">
        <v>535</v>
      </c>
      <c r="G17" s="906">
        <v>1</v>
      </c>
      <c r="H17" s="906">
        <v>1.1</v>
      </c>
      <c r="I17" s="906">
        <v>1.25</v>
      </c>
    </row>
    <row r="18" customHeight="1" spans="1:9">
      <c r="A18" s="901" t="s">
        <v>391</v>
      </c>
      <c r="B18" s="916">
        <f>IF(B14&lt;35,0.0000291375291376905*(B14-16)^3-0.00079295704295923*(B14-16)^2+0.0139880952381617*(B14-16)+1.50570429570396,IF(B14&lt;130,-0.0027083333*(B14/10-2)^2+0.0474107143*(B14/10-2)+1.5825892857,IF(B14&lt;160,1.83,IF(B14&lt;210,1.865,1.9))))</f>
        <v>1.58177822177836</v>
      </c>
      <c r="C18" s="916">
        <f>IF(C14&lt;35,0.0000291375291376905*(C14-16)^3-0.00079295704295923*(C14-16)^2+0.0139880952381617*(C14-16)+1.50570429570396,IF(C14&lt;130,-0.0027083333*(C14/10-2)^2+0.0474107143*(C14/10-2)+1.5825892857,IF(C14&lt;160,1.83,IF(C14&lt;210,1.865,1.9))))</f>
        <v>1.694105952668</v>
      </c>
      <c r="D18" s="901"/>
      <c r="F18" s="1027" t="s">
        <v>536</v>
      </c>
      <c r="G18" s="906">
        <v>1.1</v>
      </c>
      <c r="H18" s="906">
        <v>1.25</v>
      </c>
      <c r="I18" s="906">
        <v>1.5</v>
      </c>
    </row>
    <row r="19" customHeight="1" spans="1:10">
      <c r="A19" s="901" t="s">
        <v>392</v>
      </c>
      <c r="B19" s="916">
        <f>B17*B18</f>
        <v>4.07548362221444</v>
      </c>
      <c r="C19" s="916">
        <f>C17*C18</f>
        <v>3.64599480920547</v>
      </c>
      <c r="D19" s="901"/>
      <c r="F19" s="947"/>
      <c r="G19" s="915"/>
      <c r="H19" s="915"/>
      <c r="I19" s="915"/>
      <c r="J19" s="915"/>
    </row>
    <row r="20" customHeight="1" spans="1:11">
      <c r="A20" s="901" t="s">
        <v>393</v>
      </c>
      <c r="B20" s="909">
        <v>1</v>
      </c>
      <c r="C20" s="909">
        <v>1</v>
      </c>
      <c r="D20" s="901"/>
      <c r="F20" s="894" t="s">
        <v>537</v>
      </c>
      <c r="G20" s="893"/>
      <c r="H20" s="893"/>
      <c r="J20" s="894" t="s">
        <v>538</v>
      </c>
      <c r="K20" s="893"/>
    </row>
    <row r="21" customHeight="1" spans="1:11">
      <c r="A21" s="901" t="s">
        <v>394</v>
      </c>
      <c r="B21" s="909">
        <f>2*8*300*15</f>
        <v>72000</v>
      </c>
      <c r="C21" s="909"/>
      <c r="D21" s="932" t="s">
        <v>395</v>
      </c>
      <c r="G21" s="893"/>
      <c r="H21" s="893"/>
      <c r="J21" s="893"/>
      <c r="K21" s="893"/>
    </row>
    <row r="22" customHeight="1" spans="1:11">
      <c r="A22" s="901" t="s">
        <v>397</v>
      </c>
      <c r="B22" s="909">
        <v>960</v>
      </c>
      <c r="C22" s="956">
        <f>B22/C9</f>
        <v>480</v>
      </c>
      <c r="D22" s="901"/>
      <c r="G22" s="893"/>
      <c r="H22" s="893"/>
      <c r="J22" s="893"/>
      <c r="K22" s="893"/>
    </row>
    <row r="23" customHeight="1" spans="1:11">
      <c r="A23" s="901" t="s">
        <v>402</v>
      </c>
      <c r="B23" s="933">
        <f>60*B22*B20*B21</f>
        <v>4147200000</v>
      </c>
      <c r="C23" s="933">
        <f>60*C22*C20*B21</f>
        <v>2073600000</v>
      </c>
      <c r="D23" s="901" t="s">
        <v>403</v>
      </c>
      <c r="G23" s="893"/>
      <c r="H23" s="893"/>
      <c r="J23" s="893"/>
      <c r="K23" s="893"/>
    </row>
    <row r="24" customHeight="1" spans="1:11">
      <c r="A24" s="901" t="s">
        <v>407</v>
      </c>
      <c r="B24" s="909">
        <v>0.9</v>
      </c>
      <c r="C24" s="909">
        <v>0.95</v>
      </c>
      <c r="D24" s="901" t="s">
        <v>356</v>
      </c>
      <c r="G24" s="893"/>
      <c r="H24" s="893"/>
      <c r="J24" s="893"/>
      <c r="K24" s="893"/>
    </row>
    <row r="25" customHeight="1" spans="1:11">
      <c r="A25" s="901" t="s">
        <v>409</v>
      </c>
      <c r="B25" s="909">
        <v>300</v>
      </c>
      <c r="C25" s="909">
        <v>250</v>
      </c>
      <c r="D25" s="901"/>
      <c r="G25" s="893"/>
      <c r="H25" s="893"/>
      <c r="J25" s="893"/>
      <c r="K25" s="893"/>
    </row>
    <row r="26" customHeight="1" spans="1:11">
      <c r="A26" s="901" t="s">
        <v>410</v>
      </c>
      <c r="B26" s="909">
        <v>400</v>
      </c>
      <c r="C26" s="909">
        <v>380</v>
      </c>
      <c r="D26" s="901" t="s">
        <v>539</v>
      </c>
      <c r="G26" s="893"/>
      <c r="H26" s="893"/>
      <c r="J26" s="893"/>
      <c r="K26" s="893"/>
    </row>
    <row r="27" customHeight="1" spans="1:11">
      <c r="A27" s="901" t="s">
        <v>413</v>
      </c>
      <c r="B27" s="956">
        <f>B24*B26/1.5</f>
        <v>240</v>
      </c>
      <c r="C27" s="916">
        <f>C24*C26/1.5</f>
        <v>240.666666666667</v>
      </c>
      <c r="D27" s="936" t="s">
        <v>414</v>
      </c>
      <c r="G27" s="893"/>
      <c r="H27" s="893"/>
      <c r="J27" s="893"/>
      <c r="K27" s="893"/>
    </row>
    <row r="28" customHeight="1" spans="1:11">
      <c r="A28" s="901" t="s">
        <v>415</v>
      </c>
      <c r="B28" s="1069">
        <f>B19/B27</f>
        <v>0.0169811817592268</v>
      </c>
      <c r="C28" s="1069">
        <f>C19/C27</f>
        <v>0.0151495629191363</v>
      </c>
      <c r="D28" s="901" t="s">
        <v>416</v>
      </c>
      <c r="G28" s="893"/>
      <c r="H28" s="893"/>
      <c r="J28" s="893"/>
      <c r="K28" s="893"/>
    </row>
    <row r="29" customHeight="1" spans="1:11">
      <c r="A29" s="953"/>
      <c r="B29" s="990"/>
      <c r="C29" s="991"/>
      <c r="D29" s="901"/>
      <c r="G29" s="893"/>
      <c r="H29" s="893"/>
      <c r="J29" s="893"/>
      <c r="K29" s="893"/>
    </row>
    <row r="30" customHeight="1" spans="1:11">
      <c r="A30" s="950" t="s">
        <v>540</v>
      </c>
      <c r="B30" s="952"/>
      <c r="C30" s="1070">
        <f>IF(B28&gt;C28,(B28*4*A7*D11/(C8*(1-0.5*C8)^2*B14^2*(C9^2+1)^(1/2)))^(1/3),(C28*4*A7*D11/(C8*(1-0.5*C8)^2*B14^2*(C9^2+1)^(1/2)))^(1/3))</f>
        <v>1.4798202079337</v>
      </c>
      <c r="D30" s="901" t="s">
        <v>541</v>
      </c>
      <c r="G30" s="893"/>
      <c r="H30" s="893"/>
      <c r="J30" s="893"/>
      <c r="K30" s="893"/>
    </row>
    <row r="31" customHeight="1" spans="1:11">
      <c r="A31" s="953"/>
      <c r="B31" s="990"/>
      <c r="C31" s="991"/>
      <c r="D31" s="901"/>
      <c r="G31" s="893"/>
      <c r="H31" s="893"/>
      <c r="J31" s="893"/>
      <c r="K31" s="893"/>
    </row>
    <row r="32" customHeight="1" spans="1:11">
      <c r="A32" s="897" t="s">
        <v>418</v>
      </c>
      <c r="B32" s="970"/>
      <c r="C32" s="970"/>
      <c r="D32" s="971"/>
      <c r="G32" s="893"/>
      <c r="H32" s="893"/>
      <c r="J32" s="893"/>
      <c r="K32" s="893"/>
    </row>
    <row r="33" customHeight="1" spans="1:11">
      <c r="A33" s="901" t="s">
        <v>158</v>
      </c>
      <c r="B33" s="901" t="s">
        <v>384</v>
      </c>
      <c r="C33" s="901" t="s">
        <v>385</v>
      </c>
      <c r="D33" s="901" t="s">
        <v>65</v>
      </c>
      <c r="G33" s="893"/>
      <c r="H33" s="893"/>
      <c r="J33" s="893"/>
      <c r="K33" s="893"/>
    </row>
    <row r="34" customHeight="1" spans="1:11">
      <c r="A34" s="901" t="s">
        <v>402</v>
      </c>
      <c r="B34" s="1071">
        <f>B23</f>
        <v>4147200000</v>
      </c>
      <c r="C34" s="1071">
        <f>C23</f>
        <v>2073600000</v>
      </c>
      <c r="D34" s="901" t="s">
        <v>403</v>
      </c>
      <c r="G34" s="893"/>
      <c r="H34" s="893"/>
      <c r="J34" s="893"/>
      <c r="K34" s="893"/>
    </row>
    <row r="35" customHeight="1" spans="1:11">
      <c r="A35" s="901" t="s">
        <v>407</v>
      </c>
      <c r="B35" s="1072">
        <v>0.9</v>
      </c>
      <c r="C35" s="1072">
        <v>0.95</v>
      </c>
      <c r="D35" s="901" t="s">
        <v>361</v>
      </c>
      <c r="G35" s="893"/>
      <c r="H35" s="893"/>
      <c r="J35" s="893"/>
      <c r="K35" s="893"/>
    </row>
    <row r="36" customHeight="1" spans="1:11">
      <c r="A36" s="901" t="s">
        <v>409</v>
      </c>
      <c r="B36" s="901">
        <f>B25</f>
        <v>300</v>
      </c>
      <c r="C36" s="901">
        <f>C25</f>
        <v>250</v>
      </c>
      <c r="D36" s="901"/>
      <c r="G36" s="893"/>
      <c r="H36" s="893"/>
      <c r="J36" s="893"/>
      <c r="K36" s="893"/>
    </row>
    <row r="37" customHeight="1" spans="1:11">
      <c r="A37" s="901" t="s">
        <v>420</v>
      </c>
      <c r="B37" s="1072">
        <v>620</v>
      </c>
      <c r="C37" s="1072">
        <v>550</v>
      </c>
      <c r="D37" s="901" t="s">
        <v>542</v>
      </c>
      <c r="G37" s="893"/>
      <c r="H37" s="893"/>
      <c r="J37" s="893"/>
      <c r="K37" s="893"/>
    </row>
    <row r="38" customHeight="1" spans="1:11">
      <c r="A38" s="901" t="s">
        <v>422</v>
      </c>
      <c r="B38" s="1073">
        <f>B35*B37</f>
        <v>558</v>
      </c>
      <c r="C38" s="1073">
        <f>C35*C37</f>
        <v>522.5</v>
      </c>
      <c r="D38" s="936" t="s">
        <v>423</v>
      </c>
      <c r="G38" s="893"/>
      <c r="H38" s="893"/>
      <c r="J38" s="893"/>
      <c r="K38" s="893"/>
    </row>
    <row r="39" customHeight="1" spans="1:10">
      <c r="A39" s="901" t="s">
        <v>424</v>
      </c>
      <c r="B39" s="1074">
        <f>IF(B38&gt;C38,C38,B38)</f>
        <v>522.5</v>
      </c>
      <c r="C39" s="1075"/>
      <c r="D39" s="901" t="s">
        <v>425</v>
      </c>
      <c r="F39" s="1036"/>
      <c r="G39" s="1036"/>
      <c r="H39" s="1036"/>
      <c r="I39" s="1036"/>
      <c r="J39" s="1036"/>
    </row>
    <row r="40" customHeight="1" spans="1:6">
      <c r="A40" s="912" t="s">
        <v>426</v>
      </c>
      <c r="B40" s="913"/>
      <c r="C40" s="1072">
        <v>189.8</v>
      </c>
      <c r="D40" s="901" t="s">
        <v>543</v>
      </c>
      <c r="F40" s="894" t="s">
        <v>544</v>
      </c>
    </row>
    <row r="41" customHeight="1" spans="1:4">
      <c r="A41" s="953"/>
      <c r="B41" s="990"/>
      <c r="C41" s="991"/>
      <c r="D41" s="906"/>
    </row>
    <row r="42" customHeight="1" spans="1:4">
      <c r="A42" s="950" t="s">
        <v>545</v>
      </c>
      <c r="B42" s="952"/>
      <c r="C42" s="1070">
        <f>2.92*((C40/B39)^2*A7*D11/(C8*(1-0.5*C8)^2*C9))^(1/3)</f>
        <v>46.5602113779614</v>
      </c>
      <c r="D42" s="901" t="s">
        <v>541</v>
      </c>
    </row>
    <row r="44" customHeight="1" spans="1:4">
      <c r="A44" s="897" t="s">
        <v>546</v>
      </c>
      <c r="B44" s="970"/>
      <c r="C44" s="970"/>
      <c r="D44" s="971"/>
    </row>
    <row r="45" customHeight="1" spans="1:4">
      <c r="A45" s="983" t="s">
        <v>442</v>
      </c>
      <c r="B45" s="901" t="s">
        <v>443</v>
      </c>
      <c r="C45" s="1076">
        <f>1.15*C30</f>
        <v>1.70179323912376</v>
      </c>
      <c r="D45" s="983" t="s">
        <v>444</v>
      </c>
    </row>
    <row r="46" customHeight="1" spans="1:4">
      <c r="A46" s="965" t="s">
        <v>448</v>
      </c>
      <c r="B46" s="901" t="s">
        <v>443</v>
      </c>
      <c r="C46" s="1077">
        <f>C30</f>
        <v>1.4798202079337</v>
      </c>
      <c r="D46" s="983"/>
    </row>
    <row r="47" customHeight="1" spans="1:4">
      <c r="A47" s="965"/>
      <c r="B47" s="901" t="s">
        <v>449</v>
      </c>
      <c r="C47" s="1077">
        <f>C42</f>
        <v>46.5602113779614</v>
      </c>
      <c r="D47" s="983"/>
    </row>
    <row r="49" customHeight="1" spans="1:4">
      <c r="A49" s="802" t="s">
        <v>461</v>
      </c>
      <c r="B49" s="803"/>
      <c r="C49" s="803"/>
      <c r="D49" s="804"/>
    </row>
    <row r="50" customHeight="1" spans="1:4">
      <c r="A50" s="805"/>
      <c r="B50" s="806"/>
      <c r="C50" s="806"/>
      <c r="D50" s="807"/>
    </row>
    <row r="51" customHeight="1" spans="1:4">
      <c r="A51" s="805"/>
      <c r="B51" s="806"/>
      <c r="C51" s="806"/>
      <c r="D51" s="807"/>
    </row>
    <row r="52" customHeight="1" spans="1:4">
      <c r="A52" s="805"/>
      <c r="B52" s="806"/>
      <c r="C52" s="806"/>
      <c r="D52" s="807"/>
    </row>
    <row r="53" customHeight="1" spans="1:4">
      <c r="A53" s="805"/>
      <c r="B53" s="806"/>
      <c r="C53" s="806"/>
      <c r="D53" s="807"/>
    </row>
    <row r="54" customHeight="1" spans="1:4">
      <c r="A54" s="805"/>
      <c r="B54" s="806"/>
      <c r="C54" s="806"/>
      <c r="D54" s="807"/>
    </row>
    <row r="55" customHeight="1" spans="1:4">
      <c r="A55" s="805"/>
      <c r="B55" s="806"/>
      <c r="C55" s="806"/>
      <c r="D55" s="807"/>
    </row>
    <row r="56" customHeight="1" spans="1:4">
      <c r="A56" s="805"/>
      <c r="B56" s="806"/>
      <c r="C56" s="806"/>
      <c r="D56" s="807"/>
    </row>
    <row r="57" customHeight="1" spans="1:6">
      <c r="A57" s="805"/>
      <c r="B57" s="806"/>
      <c r="C57" s="806"/>
      <c r="D57" s="807"/>
      <c r="F57" s="894" t="s">
        <v>547</v>
      </c>
    </row>
    <row r="58" customHeight="1" spans="1:4">
      <c r="A58" s="805"/>
      <c r="B58" s="806"/>
      <c r="C58" s="806"/>
      <c r="D58" s="807"/>
    </row>
    <row r="59" customHeight="1" spans="1:4">
      <c r="A59" s="805"/>
      <c r="B59" s="806"/>
      <c r="C59" s="806"/>
      <c r="D59" s="807"/>
    </row>
    <row r="60" customHeight="1" spans="1:4">
      <c r="A60" s="805"/>
      <c r="B60" s="806"/>
      <c r="C60" s="806"/>
      <c r="D60" s="807"/>
    </row>
    <row r="61" customHeight="1" spans="1:4">
      <c r="A61" s="805"/>
      <c r="B61" s="806"/>
      <c r="C61" s="806"/>
      <c r="D61" s="807"/>
    </row>
    <row r="62" customHeight="1" spans="1:4">
      <c r="A62" s="805"/>
      <c r="B62" s="806"/>
      <c r="C62" s="806"/>
      <c r="D62" s="807"/>
    </row>
    <row r="63" customHeight="1" spans="1:4">
      <c r="A63" s="808"/>
      <c r="B63" s="809"/>
      <c r="C63" s="809"/>
      <c r="D63" s="810"/>
    </row>
    <row r="64" customHeight="1" spans="1:4">
      <c r="A64" s="802" t="s">
        <v>548</v>
      </c>
      <c r="B64" s="803"/>
      <c r="C64" s="803"/>
      <c r="D64" s="804"/>
    </row>
    <row r="65" customHeight="1" spans="1:4">
      <c r="A65" s="805"/>
      <c r="B65" s="806"/>
      <c r="C65" s="806"/>
      <c r="D65" s="807"/>
    </row>
    <row r="66" customHeight="1" spans="1:4">
      <c r="A66" s="805"/>
      <c r="B66" s="806"/>
      <c r="C66" s="806"/>
      <c r="D66" s="807"/>
    </row>
    <row r="67" customHeight="1" spans="1:4">
      <c r="A67" s="805"/>
      <c r="B67" s="806"/>
      <c r="C67" s="806"/>
      <c r="D67" s="807"/>
    </row>
    <row r="68" customHeight="1" spans="1:4">
      <c r="A68" s="805"/>
      <c r="B68" s="806"/>
      <c r="C68" s="806"/>
      <c r="D68" s="807"/>
    </row>
    <row r="69" customHeight="1" spans="1:4">
      <c r="A69" s="805"/>
      <c r="B69" s="806"/>
      <c r="C69" s="806"/>
      <c r="D69" s="807"/>
    </row>
    <row r="70" customHeight="1" spans="1:4">
      <c r="A70" s="805"/>
      <c r="B70" s="806"/>
      <c r="C70" s="806"/>
      <c r="D70" s="807"/>
    </row>
    <row r="71" customHeight="1" spans="1:4">
      <c r="A71" s="805"/>
      <c r="B71" s="806"/>
      <c r="C71" s="806"/>
      <c r="D71" s="807"/>
    </row>
    <row r="72" customHeight="1" spans="1:6">
      <c r="A72" s="808"/>
      <c r="B72" s="809"/>
      <c r="C72" s="809"/>
      <c r="D72" s="810"/>
      <c r="E72" s="1036"/>
      <c r="F72" s="894" t="s">
        <v>549</v>
      </c>
    </row>
    <row r="73" customHeight="1" spans="1:11">
      <c r="A73" s="806"/>
      <c r="B73" s="806"/>
      <c r="C73" s="806"/>
      <c r="D73" s="806"/>
      <c r="E73" s="1036"/>
      <c r="F73" s="1027" t="s">
        <v>459</v>
      </c>
      <c r="G73" s="953" t="s">
        <v>460</v>
      </c>
      <c r="H73" s="990"/>
      <c r="I73" s="990"/>
      <c r="J73" s="990"/>
      <c r="K73" s="991"/>
    </row>
    <row r="74" customHeight="1" spans="1:11">
      <c r="A74" s="893" t="s">
        <v>550</v>
      </c>
      <c r="F74" s="1078"/>
      <c r="G74" s="935" t="s">
        <v>462</v>
      </c>
      <c r="H74" s="935" t="s">
        <v>108</v>
      </c>
      <c r="I74" s="935" t="s">
        <v>463</v>
      </c>
      <c r="J74" s="935" t="s">
        <v>464</v>
      </c>
      <c r="K74" s="935" t="s">
        <v>465</v>
      </c>
    </row>
    <row r="75" customHeight="1" spans="1:11">
      <c r="A75" s="906" t="s">
        <v>503</v>
      </c>
      <c r="B75" s="907" t="s">
        <v>504</v>
      </c>
      <c r="C75" s="907"/>
      <c r="D75" s="903" t="s">
        <v>65</v>
      </c>
      <c r="F75" s="1078"/>
      <c r="G75" s="935" t="s">
        <v>466</v>
      </c>
      <c r="H75" s="935" t="s">
        <v>467</v>
      </c>
      <c r="I75" s="935" t="s">
        <v>468</v>
      </c>
      <c r="J75" s="935" t="s">
        <v>469</v>
      </c>
      <c r="K75" s="935" t="s">
        <v>470</v>
      </c>
    </row>
    <row r="76" customHeight="1" spans="1:11">
      <c r="A76" s="1078" t="s">
        <v>417</v>
      </c>
      <c r="B76" s="907"/>
      <c r="C76" s="907"/>
      <c r="D76" s="1079" t="s">
        <v>551</v>
      </c>
      <c r="F76" s="935" t="s">
        <v>464</v>
      </c>
      <c r="G76" s="935">
        <v>162</v>
      </c>
      <c r="H76" s="935">
        <v>181.4</v>
      </c>
      <c r="I76" s="935">
        <v>188.9</v>
      </c>
      <c r="J76" s="935">
        <v>189.8</v>
      </c>
      <c r="K76" s="935">
        <v>56.4</v>
      </c>
    </row>
    <row r="77" customHeight="1" spans="1:11">
      <c r="A77" s="1078"/>
      <c r="B77" s="907"/>
      <c r="C77" s="907"/>
      <c r="D77" s="1079"/>
      <c r="F77" s="935" t="s">
        <v>463</v>
      </c>
      <c r="G77" s="935">
        <v>161.4</v>
      </c>
      <c r="H77" s="935">
        <v>180.5</v>
      </c>
      <c r="I77" s="935">
        <v>188</v>
      </c>
      <c r="J77" s="1036"/>
      <c r="K77" s="1036"/>
    </row>
    <row r="78" customHeight="1" spans="1:11">
      <c r="A78" s="1078"/>
      <c r="B78" s="907"/>
      <c r="C78" s="907"/>
      <c r="D78" s="1079"/>
      <c r="F78" s="935" t="s">
        <v>108</v>
      </c>
      <c r="G78" s="935">
        <v>156.6</v>
      </c>
      <c r="H78" s="935">
        <v>173.9</v>
      </c>
      <c r="I78" s="1036"/>
      <c r="J78" s="1036"/>
      <c r="K78" s="1036"/>
    </row>
    <row r="79" customHeight="1" spans="1:11">
      <c r="A79" s="1078" t="s">
        <v>430</v>
      </c>
      <c r="B79" s="907"/>
      <c r="C79" s="907"/>
      <c r="D79" s="1079" t="s">
        <v>552</v>
      </c>
      <c r="F79" s="935" t="s">
        <v>462</v>
      </c>
      <c r="G79" s="935">
        <v>143.7</v>
      </c>
      <c r="H79" s="1036"/>
      <c r="I79" s="1036"/>
      <c r="J79" s="1036"/>
      <c r="K79" s="1036"/>
    </row>
    <row r="80" customHeight="1" spans="1:6">
      <c r="A80" s="1078"/>
      <c r="B80" s="907"/>
      <c r="C80" s="907"/>
      <c r="D80" s="1079"/>
      <c r="F80" s="894" t="s">
        <v>471</v>
      </c>
    </row>
    <row r="81" customHeight="1" spans="1:5">
      <c r="A81" s="1078"/>
      <c r="B81" s="907"/>
      <c r="C81" s="907"/>
      <c r="D81" s="1079"/>
      <c r="E81" s="1036"/>
    </row>
    <row r="82" customHeight="1" spans="1:5">
      <c r="A82" s="1078" t="s">
        <v>508</v>
      </c>
      <c r="B82" s="907" t="s">
        <v>509</v>
      </c>
      <c r="C82" s="907"/>
      <c r="D82" s="1080" t="s">
        <v>510</v>
      </c>
      <c r="E82" s="1036"/>
    </row>
    <row r="83" customHeight="1" spans="1:5">
      <c r="A83" s="1081" t="s">
        <v>511</v>
      </c>
      <c r="B83" s="988" t="s">
        <v>512</v>
      </c>
      <c r="C83" s="988"/>
      <c r="D83" s="1082" t="s">
        <v>513</v>
      </c>
      <c r="E83" s="915"/>
    </row>
    <row r="84" customHeight="1" spans="1:5">
      <c r="A84" s="1083"/>
      <c r="B84" s="1083"/>
      <c r="C84" s="1083"/>
      <c r="D84" s="1083"/>
      <c r="E84" s="1084"/>
    </row>
    <row r="85" customHeight="1" spans="1:5">
      <c r="A85" s="915"/>
      <c r="B85" s="915"/>
      <c r="C85" s="915"/>
      <c r="D85" s="915"/>
      <c r="E85" s="915"/>
    </row>
    <row r="86" customHeight="1" spans="1:5">
      <c r="A86" s="915"/>
      <c r="B86" s="915"/>
      <c r="C86" s="915"/>
      <c r="D86" s="915"/>
      <c r="E86" s="915"/>
    </row>
    <row r="87" customHeight="1" spans="1:5">
      <c r="A87" s="915"/>
      <c r="B87" s="1085"/>
      <c r="C87" s="1085"/>
      <c r="D87" s="1036"/>
      <c r="E87" s="1036"/>
    </row>
    <row r="88" customHeight="1" spans="1:5">
      <c r="A88" s="915"/>
      <c r="B88" s="1085"/>
      <c r="C88" s="1085"/>
      <c r="D88" s="1084"/>
      <c r="E88" s="1036"/>
    </row>
    <row r="89" customHeight="1" spans="1:5">
      <c r="A89" s="915"/>
      <c r="B89" s="1085"/>
      <c r="C89" s="1085"/>
      <c r="D89" s="1084"/>
      <c r="E89" s="1036"/>
    </row>
    <row r="90" customHeight="1" spans="1:5">
      <c r="A90" s="915"/>
      <c r="B90" s="915"/>
      <c r="C90" s="915"/>
      <c r="D90" s="915"/>
      <c r="E90" s="1036"/>
    </row>
    <row r="91" customHeight="1" spans="1:5">
      <c r="A91" s="915"/>
      <c r="B91" s="915"/>
      <c r="C91" s="915"/>
      <c r="D91" s="915"/>
      <c r="E91" s="1036"/>
    </row>
    <row r="92" customHeight="1" spans="1:5">
      <c r="A92" s="915"/>
      <c r="B92" s="915"/>
      <c r="C92" s="915"/>
      <c r="D92" s="915"/>
      <c r="E92" s="1036"/>
    </row>
    <row r="93" customHeight="1" spans="1:5">
      <c r="A93" s="915"/>
      <c r="B93" s="915"/>
      <c r="C93" s="915"/>
      <c r="D93" s="915"/>
      <c r="E93" s="1036"/>
    </row>
    <row r="94" customHeight="1" spans="1:5">
      <c r="A94" s="915"/>
      <c r="B94" s="915"/>
      <c r="C94" s="915"/>
      <c r="D94" s="915"/>
      <c r="E94" s="1036"/>
    </row>
    <row r="141" customHeight="1" spans="6:6">
      <c r="F141" s="1086" t="s">
        <v>499</v>
      </c>
    </row>
    <row r="142" customHeight="1" spans="6:6">
      <c r="F142" s="1087">
        <v>1.625</v>
      </c>
    </row>
    <row r="143" customHeight="1" spans="6:6">
      <c r="F143" s="1087">
        <v>1.65</v>
      </c>
    </row>
    <row r="144" customHeight="1" spans="6:6">
      <c r="F144" s="1087">
        <v>1.67</v>
      </c>
    </row>
    <row r="145" customHeight="1" spans="6:6">
      <c r="F145" s="1087">
        <v>1.68</v>
      </c>
    </row>
    <row r="146" customHeight="1" spans="6:6">
      <c r="F146" s="1087">
        <v>1.7</v>
      </c>
    </row>
    <row r="147" customHeight="1" spans="6:6">
      <c r="F147" s="1087">
        <v>1.73</v>
      </c>
    </row>
    <row r="148" customHeight="1" spans="6:6">
      <c r="F148" s="1087">
        <v>1.75</v>
      </c>
    </row>
    <row r="149" customHeight="1" spans="6:6">
      <c r="F149" s="1087">
        <v>1.77</v>
      </c>
    </row>
    <row r="150" customHeight="1" spans="6:6">
      <c r="F150" s="1087">
        <v>1.78</v>
      </c>
    </row>
    <row r="151" customHeight="1" spans="6:6">
      <c r="F151" s="1087">
        <v>1.79</v>
      </c>
    </row>
    <row r="152" customHeight="1" spans="6:6">
      <c r="F152" s="1087">
        <v>1.83</v>
      </c>
    </row>
    <row r="153" customHeight="1" spans="6:6">
      <c r="F153" s="1087">
        <v>1.865</v>
      </c>
    </row>
    <row r="154" customHeight="1" spans="6:6">
      <c r="F154" s="1088">
        <v>1.97</v>
      </c>
    </row>
    <row r="157" customHeight="1" spans="6:6">
      <c r="F157" s="906"/>
    </row>
    <row r="158" customHeight="1" spans="6:6">
      <c r="F158" s="1089"/>
    </row>
    <row r="159" customHeight="1" spans="6:6">
      <c r="F159" s="906"/>
    </row>
    <row r="160" customHeight="1" spans="6:6">
      <c r="F160" s="906"/>
    </row>
    <row r="161" ht="14.4" spans="6:6">
      <c r="F161" s="906"/>
    </row>
    <row r="162" customHeight="1" spans="6:6">
      <c r="F162" s="906"/>
    </row>
    <row r="163" customHeight="1" spans="6:6">
      <c r="F163" s="906"/>
    </row>
    <row r="164" customHeight="1" spans="6:6">
      <c r="F164" s="906"/>
    </row>
    <row r="165" customHeight="1" spans="6:6">
      <c r="F165" s="906"/>
    </row>
    <row r="179" ht="54.75" customHeight="1"/>
    <row r="180" ht="57.75" customHeight="1"/>
    <row r="185" ht="50.1" customHeight="1"/>
    <row r="186" ht="50.1" customHeight="1"/>
    <row r="187" ht="30" customHeight="1"/>
    <row r="188" ht="30" customHeight="1"/>
    <row r="189" ht="50.1" customHeight="1"/>
    <row r="190" ht="50.1" customHeight="1"/>
    <row r="191" ht="54.95" customHeight="1"/>
    <row r="192" ht="50.1" customHeight="1"/>
  </sheetData>
  <customSheetViews>
    <customSheetView guid="{27B96A40-A6B2-43F7-A93C-713F4207CB2A}">
      <selection activeCell="M5" sqref="M5"/>
      <pageMargins left="0.7" right="0.7" top="0.75" bottom="0.75" header="0.3" footer="0.3"/>
      <headerFooter/>
    </customSheetView>
  </customSheetViews>
  <mergeCells count="36">
    <mergeCell ref="A1:D1"/>
    <mergeCell ref="A2:D2"/>
    <mergeCell ref="A3:B3"/>
    <mergeCell ref="G3:J3"/>
    <mergeCell ref="A9:B9"/>
    <mergeCell ref="A12:D12"/>
    <mergeCell ref="G15:I15"/>
    <mergeCell ref="B21:C21"/>
    <mergeCell ref="A29:C29"/>
    <mergeCell ref="A30:B30"/>
    <mergeCell ref="A31:C31"/>
    <mergeCell ref="A32:D32"/>
    <mergeCell ref="B39:C39"/>
    <mergeCell ref="A40:B40"/>
    <mergeCell ref="A41:C41"/>
    <mergeCell ref="A42:B42"/>
    <mergeCell ref="A44:D44"/>
    <mergeCell ref="G73:K73"/>
    <mergeCell ref="B75:C75"/>
    <mergeCell ref="B82:C82"/>
    <mergeCell ref="B83:C83"/>
    <mergeCell ref="A4:A6"/>
    <mergeCell ref="A10:A11"/>
    <mergeCell ref="A46:A47"/>
    <mergeCell ref="A76:A78"/>
    <mergeCell ref="A79:A81"/>
    <mergeCell ref="D76:D78"/>
    <mergeCell ref="D79:D81"/>
    <mergeCell ref="F3:F4"/>
    <mergeCell ref="F11:F12"/>
    <mergeCell ref="F15:F16"/>
    <mergeCell ref="F73:F75"/>
    <mergeCell ref="A49:D63"/>
    <mergeCell ref="A64:D72"/>
    <mergeCell ref="B79:C81"/>
    <mergeCell ref="B76:C78"/>
  </mergeCells>
  <dataValidations count="1">
    <dataValidation type="list" allowBlank="1" showInputMessage="1" showErrorMessage="1" prompt="选择精度" sqref="D5">
      <formula1>$G$11:$J$11</formula1>
    </dataValidation>
  </dataValidations>
  <pageMargins left="0.7" right="0.7" top="0.75" bottom="0.75" header="0.3" footer="0.3"/>
  <headerFooter/>
  <drawing r:id="rId2"/>
  <legacyDrawing r:id="rId3"/>
  <oleObjects>
    <mc:AlternateContent xmlns:mc="http://schemas.openxmlformats.org/markup-compatibility/2006">
      <mc:Choice Requires="x14">
        <oleObject shapeId="3093" progId="Equations" r:id="rId4">
          <objectPr defaultSize="0" r:id="rId5">
            <anchor moveWithCells="1">
              <from>
                <xdr:col>0</xdr:col>
                <xdr:colOff>906780</xdr:colOff>
                <xdr:row>75</xdr:row>
                <xdr:rowOff>7620</xdr:rowOff>
              </from>
              <to>
                <xdr:col>3</xdr:col>
                <xdr:colOff>297180</xdr:colOff>
                <xdr:row>77</xdr:row>
                <xdr:rowOff>152400</xdr:rowOff>
              </to>
            </anchor>
          </objectPr>
        </oleObject>
      </mc:Choice>
      <mc:Fallback>
        <oleObject shapeId="3093" progId="Equations" r:id="rId4"/>
      </mc:Fallback>
    </mc:AlternateContent>
    <mc:AlternateContent xmlns:mc="http://schemas.openxmlformats.org/markup-compatibility/2006">
      <mc:Choice Requires="x14">
        <oleObject shapeId="3094" progId="Equations" r:id="rId6">
          <objectPr defaultSize="0" r:id="rId7">
            <anchor moveWithCells="1">
              <from>
                <xdr:col>0</xdr:col>
                <xdr:colOff>906780</xdr:colOff>
                <xdr:row>78</xdr:row>
                <xdr:rowOff>7620</xdr:rowOff>
              </from>
              <to>
                <xdr:col>3</xdr:col>
                <xdr:colOff>297180</xdr:colOff>
                <xdr:row>81</xdr:row>
                <xdr:rowOff>0</xdr:rowOff>
              </to>
            </anchor>
          </objectPr>
        </oleObject>
      </mc:Choice>
      <mc:Fallback>
        <oleObject shapeId="3094" progId="Equations" r:id="rId6"/>
      </mc:Fallback>
    </mc:AlternateContent>
  </oleObjects>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W156"/>
  <sheetViews>
    <sheetView workbookViewId="0">
      <selection activeCell="A104" sqref="A104:D115"/>
    </sheetView>
  </sheetViews>
  <sheetFormatPr defaultColWidth="9" defaultRowHeight="17.1" customHeight="1"/>
  <cols>
    <col min="1" max="1" width="15.625" style="893" customWidth="1"/>
    <col min="2" max="2" width="15.875" style="893" customWidth="1"/>
    <col min="3" max="4" width="15.625" style="893" customWidth="1"/>
    <col min="5" max="5" width="8" style="894" customWidth="1"/>
    <col min="6" max="6" width="15.875" style="894" customWidth="1"/>
    <col min="7" max="7" width="15.25" style="894" customWidth="1"/>
    <col min="8" max="10" width="13.625" style="894" customWidth="1"/>
    <col min="11" max="12" width="12.125" style="894" customWidth="1"/>
    <col min="13" max="13" width="9" style="894" customWidth="1"/>
    <col min="14" max="14" width="13.125" style="894" customWidth="1"/>
    <col min="15" max="15" width="13.5" style="894" customWidth="1"/>
    <col min="16" max="16384" width="9" style="894"/>
  </cols>
  <sheetData>
    <row r="1" ht="21.95" customHeight="1" spans="1:5">
      <c r="A1" s="895" t="s">
        <v>553</v>
      </c>
      <c r="B1" s="895"/>
      <c r="C1" s="895"/>
      <c r="D1" s="895"/>
      <c r="E1" s="896"/>
    </row>
    <row r="2" customHeight="1" spans="1:7">
      <c r="A2" s="897" t="s">
        <v>554</v>
      </c>
      <c r="B2" s="898"/>
      <c r="C2" s="898"/>
      <c r="D2" s="899"/>
      <c r="F2" s="894" t="s">
        <v>336</v>
      </c>
      <c r="G2" s="900"/>
    </row>
    <row r="3" customHeight="1" spans="1:9">
      <c r="A3" s="901" t="s">
        <v>337</v>
      </c>
      <c r="B3" s="901"/>
      <c r="C3" s="901" t="s">
        <v>159</v>
      </c>
      <c r="D3" s="901" t="s">
        <v>65</v>
      </c>
      <c r="F3" s="902" t="s">
        <v>555</v>
      </c>
      <c r="G3" s="903" t="s">
        <v>556</v>
      </c>
      <c r="H3" s="903" t="s">
        <v>557</v>
      </c>
      <c r="I3" s="903" t="s">
        <v>558</v>
      </c>
    </row>
    <row r="4" customHeight="1" spans="1:9">
      <c r="A4" s="904" t="s">
        <v>559</v>
      </c>
      <c r="B4" s="901" t="s">
        <v>341</v>
      </c>
      <c r="C4" s="905">
        <v>1.15</v>
      </c>
      <c r="D4" s="901" t="s">
        <v>342</v>
      </c>
      <c r="F4" s="902" t="s">
        <v>259</v>
      </c>
      <c r="G4" s="906" t="s">
        <v>560</v>
      </c>
      <c r="H4" s="907" t="s">
        <v>561</v>
      </c>
      <c r="I4" s="907" t="s">
        <v>562</v>
      </c>
    </row>
    <row r="5" customHeight="1" spans="1:9">
      <c r="A5" s="908"/>
      <c r="B5" s="901" t="s">
        <v>347</v>
      </c>
      <c r="C5" s="909">
        <v>1.05</v>
      </c>
      <c r="D5" s="901" t="s">
        <v>297</v>
      </c>
      <c r="F5" s="907" t="s">
        <v>563</v>
      </c>
      <c r="G5" s="906" t="s">
        <v>564</v>
      </c>
      <c r="H5" s="906" t="s">
        <v>565</v>
      </c>
      <c r="I5" s="906" t="s">
        <v>566</v>
      </c>
    </row>
    <row r="6" customHeight="1" spans="1:9">
      <c r="A6" s="910">
        <f>C4*C5*C6</f>
        <v>1.2075</v>
      </c>
      <c r="B6" s="901" t="s">
        <v>355</v>
      </c>
      <c r="C6" s="911">
        <v>1</v>
      </c>
      <c r="D6" s="901" t="s">
        <v>521</v>
      </c>
      <c r="F6" s="907" t="s">
        <v>567</v>
      </c>
      <c r="G6" s="906" t="s">
        <v>568</v>
      </c>
      <c r="H6" s="906" t="s">
        <v>569</v>
      </c>
      <c r="I6" s="906" t="s">
        <v>570</v>
      </c>
    </row>
    <row r="7" customHeight="1" spans="1:23">
      <c r="A7" s="912" t="s">
        <v>571</v>
      </c>
      <c r="B7" s="913"/>
      <c r="C7" s="914" t="s">
        <v>572</v>
      </c>
      <c r="D7" s="901" t="s">
        <v>573</v>
      </c>
      <c r="F7" s="907" t="s">
        <v>574</v>
      </c>
      <c r="G7" s="906">
        <v>1</v>
      </c>
      <c r="H7" s="906">
        <v>1.15</v>
      </c>
      <c r="I7" s="906">
        <v>1.2</v>
      </c>
      <c r="W7" s="894" t="s">
        <v>572</v>
      </c>
    </row>
    <row r="8" customHeight="1" spans="1:23">
      <c r="A8" s="912" t="s">
        <v>575</v>
      </c>
      <c r="B8" s="913"/>
      <c r="C8" s="905" t="s">
        <v>576</v>
      </c>
      <c r="D8" s="901" t="s">
        <v>573</v>
      </c>
      <c r="F8" s="915" t="s">
        <v>577</v>
      </c>
      <c r="G8" s="915"/>
      <c r="H8" s="915"/>
      <c r="I8" s="915"/>
      <c r="W8" s="894" t="s">
        <v>578</v>
      </c>
    </row>
    <row r="9" customHeight="1" spans="1:9">
      <c r="A9" s="912" t="s">
        <v>366</v>
      </c>
      <c r="B9" s="913"/>
      <c r="C9" s="916">
        <v>20</v>
      </c>
      <c r="D9" s="901" t="s">
        <v>367</v>
      </c>
      <c r="F9" s="915"/>
      <c r="G9" s="915"/>
      <c r="H9" s="915"/>
      <c r="I9" s="915"/>
    </row>
    <row r="10" customHeight="1" spans="1:23">
      <c r="A10" s="912" t="s">
        <v>365</v>
      </c>
      <c r="B10" s="913"/>
      <c r="C10" s="917">
        <v>20.5</v>
      </c>
      <c r="D10" s="901"/>
      <c r="F10" s="894" t="s">
        <v>579</v>
      </c>
      <c r="G10" s="915"/>
      <c r="H10" s="915"/>
      <c r="I10" s="915"/>
      <c r="W10" s="894" t="s">
        <v>580</v>
      </c>
    </row>
    <row r="11" customHeight="1" spans="1:23">
      <c r="A11" s="912" t="s">
        <v>581</v>
      </c>
      <c r="B11" s="913"/>
      <c r="C11" s="918">
        <v>2</v>
      </c>
      <c r="D11" s="901" t="s">
        <v>356</v>
      </c>
      <c r="F11" s="919" t="s">
        <v>582</v>
      </c>
      <c r="G11" s="920" t="s">
        <v>583</v>
      </c>
      <c r="H11" s="920" t="s">
        <v>584</v>
      </c>
      <c r="I11" s="920" t="s">
        <v>585</v>
      </c>
      <c r="J11" s="920" t="s">
        <v>586</v>
      </c>
      <c r="K11" s="920" t="s">
        <v>587</v>
      </c>
      <c r="L11" s="985"/>
      <c r="W11" s="894" t="s">
        <v>576</v>
      </c>
    </row>
    <row r="12" customHeight="1" spans="1:12">
      <c r="A12" s="912" t="s">
        <v>588</v>
      </c>
      <c r="B12" s="913"/>
      <c r="C12" s="921">
        <f>C11*C10</f>
        <v>41</v>
      </c>
      <c r="D12" s="901"/>
      <c r="F12" s="919"/>
      <c r="G12" s="920"/>
      <c r="H12" s="920"/>
      <c r="I12" s="920"/>
      <c r="J12" s="920"/>
      <c r="K12" s="920"/>
      <c r="L12" s="985"/>
    </row>
    <row r="13" customHeight="1" spans="1:12">
      <c r="A13" s="912" t="s">
        <v>589</v>
      </c>
      <c r="B13" s="913"/>
      <c r="C13" s="922">
        <v>1450</v>
      </c>
      <c r="D13" s="901" t="s">
        <v>590</v>
      </c>
      <c r="F13" s="919"/>
      <c r="G13" s="920"/>
      <c r="H13" s="920"/>
      <c r="I13" s="920"/>
      <c r="J13" s="920"/>
      <c r="K13" s="920"/>
      <c r="L13" s="985"/>
    </row>
    <row r="14" customHeight="1" spans="1:11">
      <c r="A14" s="912" t="s">
        <v>591</v>
      </c>
      <c r="B14" s="913"/>
      <c r="C14" s="916">
        <f>C13/C10</f>
        <v>70.7317073170732</v>
      </c>
      <c r="D14" s="901" t="s">
        <v>592</v>
      </c>
      <c r="F14" s="919"/>
      <c r="G14" s="920"/>
      <c r="H14" s="920"/>
      <c r="I14" s="920"/>
      <c r="J14" s="920"/>
      <c r="K14" s="920"/>
    </row>
    <row r="15" customHeight="1" spans="1:11">
      <c r="A15" s="923" t="s">
        <v>593</v>
      </c>
      <c r="B15" s="901" t="s">
        <v>594</v>
      </c>
      <c r="C15" s="909">
        <v>9</v>
      </c>
      <c r="D15" s="901"/>
      <c r="F15" s="924" t="s">
        <v>595</v>
      </c>
      <c r="G15" s="925" t="s">
        <v>596</v>
      </c>
      <c r="H15" s="925" t="s">
        <v>597</v>
      </c>
      <c r="I15" s="925" t="s">
        <v>598</v>
      </c>
      <c r="J15" s="924" t="s">
        <v>599</v>
      </c>
      <c r="K15" s="924" t="s">
        <v>600</v>
      </c>
    </row>
    <row r="16" customHeight="1" spans="1:9">
      <c r="A16" s="923"/>
      <c r="B16" s="901" t="s">
        <v>601</v>
      </c>
      <c r="C16" s="909"/>
      <c r="D16" s="926">
        <f>IF(OR(C16="",C16=0),9549*C15/C13*1000,C16)</f>
        <v>59269.6551724138</v>
      </c>
      <c r="F16" s="927" t="s">
        <v>602</v>
      </c>
      <c r="G16" s="928" t="s">
        <v>603</v>
      </c>
      <c r="H16" s="928"/>
      <c r="I16" s="986" t="s">
        <v>604</v>
      </c>
    </row>
    <row r="17" customHeight="1" spans="1:9">
      <c r="A17" s="929" t="s">
        <v>605</v>
      </c>
      <c r="B17" s="930"/>
      <c r="C17" s="909">
        <v>0.8</v>
      </c>
      <c r="D17" s="926" t="s">
        <v>356</v>
      </c>
      <c r="F17" s="903" t="s">
        <v>606</v>
      </c>
      <c r="G17" s="907" t="s">
        <v>350</v>
      </c>
      <c r="H17" s="907"/>
      <c r="I17" s="903" t="s">
        <v>607</v>
      </c>
    </row>
    <row r="18" customHeight="1" spans="1:4">
      <c r="A18" s="929" t="s">
        <v>608</v>
      </c>
      <c r="B18" s="930"/>
      <c r="C18" s="916">
        <f>C10*C17*D16</f>
        <v>972022.344827586</v>
      </c>
      <c r="D18" s="926" t="s">
        <v>609</v>
      </c>
    </row>
    <row r="19" customHeight="1" spans="1:6">
      <c r="A19" s="912" t="s">
        <v>394</v>
      </c>
      <c r="B19" s="931"/>
      <c r="C19" s="909">
        <f>1*8*300*5</f>
        <v>12000</v>
      </c>
      <c r="D19" s="932" t="s">
        <v>395</v>
      </c>
      <c r="F19" s="894" t="s">
        <v>610</v>
      </c>
    </row>
    <row r="20" customHeight="1" spans="1:9">
      <c r="A20" s="912" t="s">
        <v>402</v>
      </c>
      <c r="B20" s="913"/>
      <c r="C20" s="933">
        <f>60*C14*C19</f>
        <v>50926829.2682927</v>
      </c>
      <c r="D20" s="901" t="s">
        <v>611</v>
      </c>
      <c r="F20" s="934" t="s">
        <v>259</v>
      </c>
      <c r="G20" s="935" t="s">
        <v>612</v>
      </c>
      <c r="H20" s="907" t="s">
        <v>613</v>
      </c>
      <c r="I20" s="907"/>
    </row>
    <row r="21" customHeight="1" spans="1:9">
      <c r="A21" s="912" t="s">
        <v>614</v>
      </c>
      <c r="B21" s="913"/>
      <c r="C21" s="916">
        <f>IF(C8=W10,1,IF(C20&lt;2.6*10^5,(100/2.6)^(1/8),IF(C20&gt;25*10^7,(1/25)^(1/8),(10^7/C20)^(1/8))))</f>
        <v>0.815890112889357</v>
      </c>
      <c r="D21" s="901" t="s">
        <v>615</v>
      </c>
      <c r="F21" s="903" t="s">
        <v>616</v>
      </c>
      <c r="G21" s="906">
        <v>1</v>
      </c>
      <c r="H21" s="907" t="s">
        <v>617</v>
      </c>
      <c r="I21" s="907"/>
    </row>
    <row r="22" customHeight="1" spans="1:9">
      <c r="A22" s="912" t="s">
        <v>618</v>
      </c>
      <c r="B22" s="913"/>
      <c r="C22" s="922">
        <v>160</v>
      </c>
      <c r="D22" s="936" t="s">
        <v>619</v>
      </c>
      <c r="I22" s="987" t="s">
        <v>378</v>
      </c>
    </row>
    <row r="23" customHeight="1" spans="1:6">
      <c r="A23" s="937" t="s">
        <v>620</v>
      </c>
      <c r="B23" s="938" t="s">
        <v>621</v>
      </c>
      <c r="C23" s="909">
        <v>0.35</v>
      </c>
      <c r="D23" s="901" t="s">
        <v>622</v>
      </c>
      <c r="F23" s="894" t="s">
        <v>623</v>
      </c>
    </row>
    <row r="24" customHeight="1" spans="1:11">
      <c r="A24" s="912" t="s">
        <v>624</v>
      </c>
      <c r="B24" s="913"/>
      <c r="C24" s="916">
        <f>IF(C7=W7,8.80952380952385*C23^2-9.58333333333343*C23+5.17714285714289,IF(C7=W8,8.80952380952385*C23^2-9.58333333333343*C23+5.17714285714289-0.27,请选择螺杆类型))</f>
        <v>2.90214285714286</v>
      </c>
      <c r="D24" s="901"/>
      <c r="F24" s="907" t="s">
        <v>625</v>
      </c>
      <c r="G24" s="907" t="s">
        <v>626</v>
      </c>
      <c r="H24" s="907" t="s">
        <v>627</v>
      </c>
      <c r="I24" s="907" t="s">
        <v>628</v>
      </c>
      <c r="J24" s="907" t="s">
        <v>629</v>
      </c>
      <c r="K24" s="988" t="s">
        <v>630</v>
      </c>
    </row>
    <row r="25" customHeight="1" spans="1:11">
      <c r="A25" s="912" t="s">
        <v>631</v>
      </c>
      <c r="B25" s="913"/>
      <c r="C25" s="939">
        <v>268</v>
      </c>
      <c r="D25" s="901" t="s">
        <v>632</v>
      </c>
      <c r="F25" s="907" t="s">
        <v>633</v>
      </c>
      <c r="G25" s="907">
        <v>6</v>
      </c>
      <c r="H25" s="907">
        <v>4</v>
      </c>
      <c r="I25" s="907">
        <v>2</v>
      </c>
      <c r="J25" s="907">
        <v>1</v>
      </c>
      <c r="K25" s="989"/>
    </row>
    <row r="26" customHeight="1" spans="1:11">
      <c r="A26" s="912" t="s">
        <v>422</v>
      </c>
      <c r="B26" s="913"/>
      <c r="C26" s="916">
        <f>C21*C25</f>
        <v>218.658550254348</v>
      </c>
      <c r="D26" s="936" t="s">
        <v>634</v>
      </c>
      <c r="F26" s="907" t="s">
        <v>635</v>
      </c>
      <c r="G26" s="907" t="s">
        <v>636</v>
      </c>
      <c r="H26" s="907" t="s">
        <v>637</v>
      </c>
      <c r="I26" s="907" t="s">
        <v>637</v>
      </c>
      <c r="J26" s="907" t="s">
        <v>629</v>
      </c>
      <c r="K26" s="928"/>
    </row>
    <row r="27" customHeight="1" spans="1:11">
      <c r="A27" s="940" t="s">
        <v>638</v>
      </c>
      <c r="B27" s="941" t="s">
        <v>639</v>
      </c>
      <c r="C27" s="942">
        <f>(A6*C18*(C22*C24/C26)^2)^(1/3)</f>
        <v>174.2753643311</v>
      </c>
      <c r="D27" s="943"/>
      <c r="F27" s="907" t="s">
        <v>640</v>
      </c>
      <c r="G27" s="907">
        <v>0.95</v>
      </c>
      <c r="H27" s="907">
        <v>0.9</v>
      </c>
      <c r="I27" s="907">
        <v>0.8</v>
      </c>
      <c r="J27" s="907">
        <v>0.7</v>
      </c>
      <c r="K27" s="907">
        <v>0.4</v>
      </c>
    </row>
    <row r="28" customHeight="1" spans="1:6">
      <c r="A28" s="944" t="s">
        <v>641</v>
      </c>
      <c r="B28" s="945" t="s">
        <v>642</v>
      </c>
      <c r="C28" s="909">
        <v>200</v>
      </c>
      <c r="D28" s="901" t="s">
        <v>419</v>
      </c>
      <c r="F28" s="894" t="s">
        <v>643</v>
      </c>
    </row>
    <row r="29" customHeight="1" spans="1:10">
      <c r="A29" s="946"/>
      <c r="B29" s="945" t="s">
        <v>644</v>
      </c>
      <c r="C29" s="909">
        <v>80</v>
      </c>
      <c r="D29" s="901" t="s">
        <v>645</v>
      </c>
      <c r="F29" s="947"/>
      <c r="G29" s="915"/>
      <c r="H29" s="915"/>
      <c r="I29" s="915"/>
      <c r="J29" s="915"/>
    </row>
    <row r="30" customHeight="1" spans="1:10">
      <c r="A30" s="946"/>
      <c r="B30" s="945" t="s">
        <v>646</v>
      </c>
      <c r="C30" s="948">
        <f>C29/C28</f>
        <v>0.4</v>
      </c>
      <c r="D30" s="901"/>
      <c r="F30" s="894" t="s">
        <v>647</v>
      </c>
      <c r="G30" s="915"/>
      <c r="H30" s="915"/>
      <c r="I30" s="915"/>
      <c r="J30" s="915"/>
    </row>
    <row r="31" customHeight="1" spans="1:15">
      <c r="A31" s="949"/>
      <c r="B31" s="950" t="str">
        <f>IF(C29/C28&lt;C23,"d1/a＜预估值,请将此值带回C20重算","d1/a≥预估值,以上计算有效")</f>
        <v>d1/a≥预估值,以上计算有效</v>
      </c>
      <c r="C31" s="951"/>
      <c r="D31" s="952"/>
      <c r="F31" s="907" t="s">
        <v>101</v>
      </c>
      <c r="G31" s="907"/>
      <c r="H31" s="953" t="s">
        <v>648</v>
      </c>
      <c r="I31" s="990"/>
      <c r="J31" s="990"/>
      <c r="K31" s="990"/>
      <c r="L31" s="990"/>
      <c r="M31" s="990"/>
      <c r="N31" s="990"/>
      <c r="O31" s="991"/>
    </row>
    <row r="32" customHeight="1" spans="1:15">
      <c r="A32" s="954" t="s">
        <v>649</v>
      </c>
      <c r="B32" s="901" t="s">
        <v>650</v>
      </c>
      <c r="C32" s="911">
        <v>2</v>
      </c>
      <c r="D32" s="901"/>
      <c r="F32" s="935" t="s">
        <v>651</v>
      </c>
      <c r="G32" s="906" t="s">
        <v>652</v>
      </c>
      <c r="H32" s="906" t="s">
        <v>653</v>
      </c>
      <c r="I32" s="906">
        <v>0.25</v>
      </c>
      <c r="J32" s="906">
        <v>0.5</v>
      </c>
      <c r="K32" s="906">
        <v>1</v>
      </c>
      <c r="L32" s="906">
        <v>2</v>
      </c>
      <c r="M32" s="906">
        <v>3</v>
      </c>
      <c r="N32" s="906">
        <v>4</v>
      </c>
      <c r="O32" s="906">
        <v>6</v>
      </c>
    </row>
    <row r="33" customHeight="1" spans="1:15">
      <c r="A33" s="955"/>
      <c r="B33" s="901" t="s">
        <v>654</v>
      </c>
      <c r="C33" s="911">
        <v>41</v>
      </c>
      <c r="D33" s="901"/>
      <c r="F33" s="835" t="s">
        <v>655</v>
      </c>
      <c r="G33" s="906" t="s">
        <v>656</v>
      </c>
      <c r="H33" s="906">
        <v>206</v>
      </c>
      <c r="I33" s="906">
        <v>166</v>
      </c>
      <c r="J33" s="906">
        <v>150</v>
      </c>
      <c r="K33" s="906">
        <v>127</v>
      </c>
      <c r="L33" s="906">
        <v>95</v>
      </c>
      <c r="M33" s="906" t="s">
        <v>657</v>
      </c>
      <c r="N33" s="906" t="s">
        <v>657</v>
      </c>
      <c r="O33" s="906" t="s">
        <v>657</v>
      </c>
    </row>
    <row r="34" customHeight="1" spans="1:15">
      <c r="A34" s="955"/>
      <c r="B34" s="901" t="s">
        <v>658</v>
      </c>
      <c r="C34" s="956">
        <f>C33/C32</f>
        <v>20.5</v>
      </c>
      <c r="D34" s="957" t="s">
        <v>659</v>
      </c>
      <c r="E34" s="958"/>
      <c r="F34" s="959"/>
      <c r="G34" s="906" t="s">
        <v>660</v>
      </c>
      <c r="H34" s="906">
        <v>250</v>
      </c>
      <c r="I34" s="906">
        <v>202</v>
      </c>
      <c r="J34" s="906">
        <v>182</v>
      </c>
      <c r="K34" s="906">
        <v>154</v>
      </c>
      <c r="L34" s="906">
        <v>115</v>
      </c>
      <c r="M34" s="906" t="s">
        <v>657</v>
      </c>
      <c r="N34" s="906" t="s">
        <v>657</v>
      </c>
      <c r="O34" s="906" t="s">
        <v>657</v>
      </c>
    </row>
    <row r="35" customHeight="1" spans="1:17">
      <c r="A35" s="955"/>
      <c r="B35" s="901" t="s">
        <v>661</v>
      </c>
      <c r="C35" s="960">
        <f>ABS(C34-C10)/C10</f>
        <v>0</v>
      </c>
      <c r="D35" s="961"/>
      <c r="F35" s="959"/>
      <c r="G35" s="906" t="s">
        <v>662</v>
      </c>
      <c r="H35" s="906" t="s">
        <v>657</v>
      </c>
      <c r="I35" s="906" t="s">
        <v>657</v>
      </c>
      <c r="J35" s="906">
        <v>215</v>
      </c>
      <c r="K35" s="906">
        <v>200</v>
      </c>
      <c r="L35" s="906">
        <v>180</v>
      </c>
      <c r="M35" s="906">
        <v>150</v>
      </c>
      <c r="N35" s="906">
        <v>135</v>
      </c>
      <c r="O35" s="906">
        <v>95</v>
      </c>
      <c r="P35" s="992" t="s">
        <v>663</v>
      </c>
      <c r="Q35" s="992"/>
    </row>
    <row r="36" customHeight="1" spans="1:17">
      <c r="A36" s="955"/>
      <c r="B36" s="901" t="s">
        <v>664</v>
      </c>
      <c r="C36" s="911">
        <v>8</v>
      </c>
      <c r="D36" s="901"/>
      <c r="F36" s="959"/>
      <c r="G36" s="906" t="s">
        <v>665</v>
      </c>
      <c r="H36" s="906" t="s">
        <v>657</v>
      </c>
      <c r="I36" s="906" t="s">
        <v>657</v>
      </c>
      <c r="J36" s="906">
        <v>250</v>
      </c>
      <c r="K36" s="906">
        <v>230</v>
      </c>
      <c r="L36" s="906">
        <v>210</v>
      </c>
      <c r="M36" s="906">
        <v>180</v>
      </c>
      <c r="N36" s="906">
        <v>160</v>
      </c>
      <c r="O36" s="906">
        <v>120</v>
      </c>
      <c r="P36" s="992"/>
      <c r="Q36" s="992"/>
    </row>
    <row r="37" customHeight="1" spans="1:15">
      <c r="A37" s="955"/>
      <c r="B37" s="901" t="s">
        <v>666</v>
      </c>
      <c r="C37" s="911">
        <v>10</v>
      </c>
      <c r="D37" s="901"/>
      <c r="F37" s="962" t="s">
        <v>667</v>
      </c>
      <c r="G37" s="906" t="s">
        <v>656</v>
      </c>
      <c r="H37" s="906">
        <v>172</v>
      </c>
      <c r="I37" s="906">
        <v>139</v>
      </c>
      <c r="J37" s="906">
        <v>125</v>
      </c>
      <c r="K37" s="906">
        <v>106</v>
      </c>
      <c r="L37" s="906">
        <v>79</v>
      </c>
      <c r="M37" s="906" t="s">
        <v>657</v>
      </c>
      <c r="N37" s="906" t="s">
        <v>657</v>
      </c>
      <c r="O37" s="906" t="s">
        <v>657</v>
      </c>
    </row>
    <row r="38" customHeight="1" spans="1:15">
      <c r="A38" s="955"/>
      <c r="B38" s="901" t="s">
        <v>668</v>
      </c>
      <c r="C38" s="956">
        <f>C36*C37</f>
        <v>80</v>
      </c>
      <c r="D38" s="901" t="s">
        <v>669</v>
      </c>
      <c r="F38" s="962"/>
      <c r="G38" s="906" t="s">
        <v>660</v>
      </c>
      <c r="H38" s="906">
        <v>208</v>
      </c>
      <c r="I38" s="906">
        <v>168</v>
      </c>
      <c r="J38" s="906">
        <v>152</v>
      </c>
      <c r="K38" s="906">
        <v>128</v>
      </c>
      <c r="L38" s="906">
        <v>96</v>
      </c>
      <c r="M38" s="906" t="s">
        <v>657</v>
      </c>
      <c r="N38" s="906" t="s">
        <v>657</v>
      </c>
      <c r="O38" s="906" t="s">
        <v>657</v>
      </c>
    </row>
    <row r="39" customHeight="1" spans="1:10">
      <c r="A39" s="955"/>
      <c r="B39" s="901" t="s">
        <v>670</v>
      </c>
      <c r="C39" s="956">
        <f>C36*C33</f>
        <v>328</v>
      </c>
      <c r="D39" s="901" t="s">
        <v>671</v>
      </c>
      <c r="F39" s="947"/>
      <c r="G39" s="915"/>
      <c r="H39" s="915"/>
      <c r="I39" s="915"/>
      <c r="J39" s="915"/>
    </row>
    <row r="40" customHeight="1" spans="1:10">
      <c r="A40" s="955"/>
      <c r="B40" s="901" t="s">
        <v>672</v>
      </c>
      <c r="C40" s="916">
        <f>DEGREES(ATAN(C32/C37))</f>
        <v>11.3099324740202</v>
      </c>
      <c r="D40" s="901"/>
      <c r="F40" s="362" t="s">
        <v>673</v>
      </c>
      <c r="G40" s="915"/>
      <c r="H40" s="915"/>
      <c r="I40" s="915"/>
      <c r="J40" s="915"/>
    </row>
    <row r="41" customHeight="1" spans="1:14">
      <c r="A41" s="955"/>
      <c r="B41" s="901" t="s">
        <v>674</v>
      </c>
      <c r="C41" s="956">
        <f>(C28*2-C38-C36*C33)/(2*C36)</f>
        <v>-0.5</v>
      </c>
      <c r="D41" s="901"/>
      <c r="F41" s="963" t="s">
        <v>675</v>
      </c>
      <c r="G41" s="919" t="s">
        <v>676</v>
      </c>
      <c r="H41" s="907" t="s">
        <v>677</v>
      </c>
      <c r="I41" s="907"/>
      <c r="J41" s="993" t="s">
        <v>678</v>
      </c>
      <c r="K41" s="806"/>
      <c r="L41" s="806"/>
      <c r="M41" s="806"/>
      <c r="N41" s="806"/>
    </row>
    <row r="42" customHeight="1" spans="1:14">
      <c r="A42" s="964"/>
      <c r="B42" s="901" t="s">
        <v>679</v>
      </c>
      <c r="C42" s="956">
        <f>C36^2*C38</f>
        <v>5120</v>
      </c>
      <c r="D42" s="901"/>
      <c r="F42" s="907"/>
      <c r="G42" s="919"/>
      <c r="H42" s="935" t="s">
        <v>680</v>
      </c>
      <c r="I42" s="935" t="s">
        <v>681</v>
      </c>
      <c r="J42" s="993"/>
      <c r="K42" s="806"/>
      <c r="L42" s="806"/>
      <c r="M42" s="806"/>
      <c r="N42" s="806"/>
    </row>
    <row r="43" customHeight="1" spans="1:14">
      <c r="A43" s="965" t="s">
        <v>682</v>
      </c>
      <c r="B43" s="901" t="s">
        <v>683</v>
      </c>
      <c r="C43" s="916">
        <f>PI()*C38*C13/(60000*COS(RADIANS(C40)))</f>
        <v>6.19402966784012</v>
      </c>
      <c r="D43" s="901" t="s">
        <v>684</v>
      </c>
      <c r="F43" s="963" t="s">
        <v>685</v>
      </c>
      <c r="G43" s="935" t="s">
        <v>686</v>
      </c>
      <c r="H43" s="906">
        <v>150</v>
      </c>
      <c r="I43" s="906">
        <v>180</v>
      </c>
      <c r="J43" s="993"/>
      <c r="K43" s="806"/>
      <c r="L43" s="806"/>
      <c r="M43" s="806"/>
      <c r="N43" s="806"/>
    </row>
    <row r="44" customHeight="1" spans="1:12">
      <c r="A44" s="965"/>
      <c r="B44" s="901" t="s">
        <v>687</v>
      </c>
      <c r="C44" s="956">
        <v>1.1687</v>
      </c>
      <c r="D44" s="901" t="s">
        <v>688</v>
      </c>
      <c r="F44" s="907"/>
      <c r="G44" s="935" t="s">
        <v>689</v>
      </c>
      <c r="H44" s="906">
        <v>220</v>
      </c>
      <c r="I44" s="906">
        <v>268</v>
      </c>
      <c r="J44" s="993"/>
      <c r="K44" s="806"/>
      <c r="L44" s="806"/>
    </row>
    <row r="45" customHeight="1" spans="1:12">
      <c r="A45" s="965"/>
      <c r="B45" s="901" t="s">
        <v>690</v>
      </c>
      <c r="C45" s="966">
        <f>(0.95*TAN(RADIANS(C40))/TAN(RADIANS(C40+C44)))</f>
        <v>0.858549721323655</v>
      </c>
      <c r="D45" s="901" t="s">
        <v>691</v>
      </c>
      <c r="F45" s="963" t="s">
        <v>692</v>
      </c>
      <c r="G45" s="935" t="s">
        <v>686</v>
      </c>
      <c r="H45" s="906">
        <v>113</v>
      </c>
      <c r="I45" s="906">
        <v>135</v>
      </c>
      <c r="J45" s="993"/>
      <c r="K45" s="806"/>
      <c r="L45" s="806"/>
    </row>
    <row r="46" customHeight="1" spans="1:12">
      <c r="A46" s="965"/>
      <c r="B46" s="950" t="str">
        <f>IF(0.95*TAN(RADIANS(C40))/TAN(RADIANS(C40+C44))&lt;C17,"η＜预估值,请将此值带回C17重算","η≥预估值,以上计算有效")</f>
        <v>η≥预估值,以上计算有效</v>
      </c>
      <c r="C46" s="951"/>
      <c r="D46" s="952"/>
      <c r="F46" s="907"/>
      <c r="G46" s="935" t="s">
        <v>689</v>
      </c>
      <c r="H46" s="906">
        <v>128</v>
      </c>
      <c r="I46" s="906">
        <v>140</v>
      </c>
      <c r="J46" s="993"/>
      <c r="K46" s="806"/>
      <c r="L46" s="806"/>
    </row>
    <row r="47" customHeight="1" spans="1:4">
      <c r="A47" s="967"/>
      <c r="B47" s="968"/>
      <c r="C47" s="968"/>
      <c r="D47" s="969"/>
    </row>
    <row r="48" customHeight="1" spans="1:6">
      <c r="A48" s="897" t="s">
        <v>693</v>
      </c>
      <c r="B48" s="970"/>
      <c r="C48" s="970"/>
      <c r="D48" s="971"/>
      <c r="F48" s="894" t="s">
        <v>694</v>
      </c>
    </row>
    <row r="49" customHeight="1" spans="1:15">
      <c r="A49" s="912" t="s">
        <v>158</v>
      </c>
      <c r="B49" s="913"/>
      <c r="C49" s="901" t="s">
        <v>159</v>
      </c>
      <c r="D49" s="901" t="s">
        <v>65</v>
      </c>
      <c r="F49" s="935" t="s">
        <v>695</v>
      </c>
      <c r="G49" s="972" t="s">
        <v>696</v>
      </c>
      <c r="H49" s="907" t="s">
        <v>697</v>
      </c>
      <c r="I49" s="907" t="s">
        <v>698</v>
      </c>
      <c r="J49" s="983" t="s">
        <v>699</v>
      </c>
      <c r="K49" s="935" t="s">
        <v>700</v>
      </c>
      <c r="L49" s="983" t="s">
        <v>666</v>
      </c>
      <c r="M49" s="935" t="s">
        <v>701</v>
      </c>
      <c r="N49" s="935" t="s">
        <v>702</v>
      </c>
      <c r="O49" s="935" t="s">
        <v>703</v>
      </c>
    </row>
    <row r="50" customHeight="1" spans="1:16">
      <c r="A50" s="912" t="s">
        <v>704</v>
      </c>
      <c r="B50" s="913"/>
      <c r="C50" s="916">
        <f>1-C40/140</f>
        <v>0.919214768042713</v>
      </c>
      <c r="D50" s="901" t="s">
        <v>705</v>
      </c>
      <c r="F50" s="973">
        <v>1</v>
      </c>
      <c r="G50" s="974">
        <v>40</v>
      </c>
      <c r="H50" s="975">
        <v>62</v>
      </c>
      <c r="I50" s="975">
        <v>0</v>
      </c>
      <c r="J50" s="994">
        <v>18</v>
      </c>
      <c r="K50" s="995">
        <v>18</v>
      </c>
      <c r="L50" s="994">
        <v>18</v>
      </c>
      <c r="M50" s="996">
        <v>1</v>
      </c>
      <c r="N50" s="997" t="s">
        <v>706</v>
      </c>
      <c r="O50" s="998">
        <f>LEFT(N50,FIND("°",N50)-1)*1+MID(N50,FIND("°",N50)+1,2)/60+MID(N50,FIND("′",N50)+1,LEN(N50)-FIND("′",N50)-1)/3600</f>
        <v>3.17972222222222</v>
      </c>
      <c r="P50" s="999"/>
    </row>
    <row r="51" customHeight="1" spans="1:16">
      <c r="A51" s="912" t="s">
        <v>707</v>
      </c>
      <c r="B51" s="913"/>
      <c r="C51" s="916">
        <f>C33/(COS(RADIANS(C40)))^3</f>
        <v>43.4844384119193</v>
      </c>
      <c r="D51" s="936" t="s">
        <v>708</v>
      </c>
      <c r="F51" s="976"/>
      <c r="G51" s="974">
        <v>50</v>
      </c>
      <c r="H51" s="975">
        <v>82</v>
      </c>
      <c r="I51" s="975">
        <v>0</v>
      </c>
      <c r="J51" s="1000"/>
      <c r="K51" s="1001"/>
      <c r="L51" s="1000"/>
      <c r="M51" s="1002"/>
      <c r="N51" s="1003"/>
      <c r="O51" s="1004"/>
      <c r="P51" s="999"/>
    </row>
    <row r="52" customHeight="1" spans="1:16">
      <c r="A52" s="912" t="s">
        <v>709</v>
      </c>
      <c r="B52" s="913"/>
      <c r="C52" s="939">
        <v>2.87</v>
      </c>
      <c r="D52" s="901" t="s">
        <v>421</v>
      </c>
      <c r="F52" s="973">
        <v>1.25</v>
      </c>
      <c r="G52" s="974">
        <v>40</v>
      </c>
      <c r="H52" s="975">
        <v>49</v>
      </c>
      <c r="I52" s="975" t="s">
        <v>710</v>
      </c>
      <c r="J52" s="1005">
        <v>20</v>
      </c>
      <c r="K52" s="919">
        <v>31.25</v>
      </c>
      <c r="L52" s="1005">
        <v>16</v>
      </c>
      <c r="M52" s="996">
        <v>1</v>
      </c>
      <c r="N52" s="1006" t="s">
        <v>711</v>
      </c>
      <c r="O52" s="1007">
        <f t="shared" ref="O52:O94" si="0">LEFT(N52,FIND("°",N52)-1)*1+MID(N52,FIND("°",N52)+1,2)/60+MID(N52,FIND("′",N52)+1,LEN(N52)-FIND("′",N52)-1)/3600</f>
        <v>3.57638888888889</v>
      </c>
      <c r="P52" s="999"/>
    </row>
    <row r="53" customHeight="1" spans="1:16">
      <c r="A53" s="912" t="s">
        <v>712</v>
      </c>
      <c r="B53" s="913"/>
      <c r="C53" s="960">
        <f>IF(C20&lt;10^5,10^(1/9),IF(C20&gt;25*10^7,(1/250)^(1/9),(10^6/C20)^(1/9)))</f>
        <v>0.646158798741907</v>
      </c>
      <c r="D53" s="901" t="s">
        <v>713</v>
      </c>
      <c r="F53" s="977"/>
      <c r="G53" s="974">
        <v>50</v>
      </c>
      <c r="H53" s="975">
        <v>62</v>
      </c>
      <c r="I53" s="975" t="s">
        <v>714</v>
      </c>
      <c r="J53" s="994">
        <v>22.4</v>
      </c>
      <c r="K53" s="995">
        <v>35</v>
      </c>
      <c r="L53" s="994">
        <v>17.92</v>
      </c>
      <c r="M53" s="1008"/>
      <c r="N53" s="997" t="s">
        <v>715</v>
      </c>
      <c r="O53" s="998">
        <f t="shared" si="0"/>
        <v>3.19388888888889</v>
      </c>
      <c r="P53" s="999"/>
    </row>
    <row r="54" customHeight="1" spans="1:16">
      <c r="A54" s="912" t="s">
        <v>716</v>
      </c>
      <c r="B54" s="913"/>
      <c r="C54" s="909">
        <v>56</v>
      </c>
      <c r="D54" s="901" t="s">
        <v>427</v>
      </c>
      <c r="F54" s="976"/>
      <c r="G54" s="974">
        <v>63</v>
      </c>
      <c r="H54" s="975">
        <v>82</v>
      </c>
      <c r="I54" s="975" t="s">
        <v>717</v>
      </c>
      <c r="J54" s="1000"/>
      <c r="K54" s="1001"/>
      <c r="L54" s="1000"/>
      <c r="M54" s="1002"/>
      <c r="N54" s="1003"/>
      <c r="O54" s="1004"/>
      <c r="P54" s="999"/>
    </row>
    <row r="55" customHeight="1" spans="1:16">
      <c r="A55" s="912" t="s">
        <v>718</v>
      </c>
      <c r="B55" s="913"/>
      <c r="C55" s="966">
        <f>C53*C54</f>
        <v>36.1848927295468</v>
      </c>
      <c r="D55" s="978" t="s">
        <v>719</v>
      </c>
      <c r="F55" s="979">
        <v>1.6</v>
      </c>
      <c r="G55" s="974">
        <v>50</v>
      </c>
      <c r="H55" s="975">
        <v>51</v>
      </c>
      <c r="I55" s="975" t="s">
        <v>710</v>
      </c>
      <c r="J55" s="1005">
        <v>20</v>
      </c>
      <c r="K55" s="919">
        <v>51.2</v>
      </c>
      <c r="L55" s="1005">
        <v>12.5</v>
      </c>
      <c r="M55" s="1009">
        <v>1</v>
      </c>
      <c r="N55" s="1006" t="s">
        <v>720</v>
      </c>
      <c r="O55" s="1007">
        <f>LEFT(N55,FIND("°",N55)-1)*1+MID(N55,FIND("°",N55)+1,2)/60+MID(N55,FIND("′",N55)+1,LEN(N55)-FIND("′",N55)-1)/3600</f>
        <v>4.57388888888889</v>
      </c>
      <c r="P55" s="999"/>
    </row>
    <row r="56" customHeight="1" spans="1:16">
      <c r="A56" s="901" t="s">
        <v>721</v>
      </c>
      <c r="B56" s="901"/>
      <c r="C56" s="980">
        <f>1.53*A6*C18*C50*C52/(C42*C33)</f>
        <v>22.5683542883634</v>
      </c>
      <c r="D56" s="901"/>
      <c r="F56" s="979"/>
      <c r="G56" s="974"/>
      <c r="H56" s="975"/>
      <c r="I56" s="975"/>
      <c r="J56" s="1005"/>
      <c r="K56" s="919"/>
      <c r="L56" s="1005"/>
      <c r="M56" s="1009">
        <v>2</v>
      </c>
      <c r="N56" s="1006" t="s">
        <v>722</v>
      </c>
      <c r="O56" s="1007">
        <f t="shared" si="0"/>
        <v>9.09027777777778</v>
      </c>
      <c r="P56" s="999"/>
    </row>
    <row r="57" customHeight="1" spans="1:16">
      <c r="A57" s="940" t="s">
        <v>638</v>
      </c>
      <c r="B57" s="951" t="str">
        <f>IF(C56&gt;C55,"σF&gt;[σF]","σF≤[σF]")</f>
        <v>σF≤[σF]</v>
      </c>
      <c r="C57" s="942" t="str">
        <f>IF(C56&gt;C55,"校核补通过","校核通过")</f>
        <v>校核通过</v>
      </c>
      <c r="D57" s="943"/>
      <c r="F57" s="979"/>
      <c r="G57" s="974"/>
      <c r="H57" s="975"/>
      <c r="I57" s="975"/>
      <c r="J57" s="1005"/>
      <c r="K57" s="919"/>
      <c r="L57" s="1005"/>
      <c r="M57" s="1009">
        <v>4</v>
      </c>
      <c r="N57" s="1006" t="s">
        <v>723</v>
      </c>
      <c r="O57" s="1007">
        <f t="shared" si="0"/>
        <v>17.7447222222222</v>
      </c>
      <c r="P57" s="999"/>
    </row>
    <row r="58" customHeight="1" spans="6:16">
      <c r="F58" s="979"/>
      <c r="G58" s="974">
        <v>63</v>
      </c>
      <c r="H58" s="975">
        <v>61</v>
      </c>
      <c r="I58" s="975" t="s">
        <v>724</v>
      </c>
      <c r="J58" s="1005">
        <v>28</v>
      </c>
      <c r="K58" s="919">
        <v>71.68</v>
      </c>
      <c r="L58" s="1005">
        <v>17.5</v>
      </c>
      <c r="M58" s="1009">
        <v>1</v>
      </c>
      <c r="N58" s="1010" t="s">
        <v>725</v>
      </c>
      <c r="O58" s="1011">
        <f t="shared" si="0"/>
        <v>3.27055555555556</v>
      </c>
      <c r="P58" s="999"/>
    </row>
    <row r="59" customHeight="1" spans="1:16">
      <c r="A59" s="897" t="s">
        <v>726</v>
      </c>
      <c r="B59" s="970"/>
      <c r="C59" s="970"/>
      <c r="D59" s="971"/>
      <c r="F59" s="979"/>
      <c r="G59" s="974">
        <v>80</v>
      </c>
      <c r="H59" s="975">
        <v>82</v>
      </c>
      <c r="I59" s="975" t="s">
        <v>727</v>
      </c>
      <c r="J59" s="1005"/>
      <c r="K59" s="919"/>
      <c r="L59" s="1005"/>
      <c r="M59" s="1009"/>
      <c r="N59" s="1010"/>
      <c r="O59" s="1011"/>
      <c r="P59" s="999"/>
    </row>
    <row r="60" customHeight="1" spans="1:16">
      <c r="A60" s="912" t="s">
        <v>591</v>
      </c>
      <c r="B60" s="913"/>
      <c r="C60" s="916">
        <f>C13/C34</f>
        <v>70.7317073170732</v>
      </c>
      <c r="D60" s="901"/>
      <c r="F60" s="979">
        <v>2</v>
      </c>
      <c r="G60" s="981"/>
      <c r="H60" s="975"/>
      <c r="I60" s="975"/>
      <c r="J60" s="1005">
        <v>22.4</v>
      </c>
      <c r="K60" s="919">
        <v>89.6</v>
      </c>
      <c r="L60" s="1005">
        <v>11.2</v>
      </c>
      <c r="M60" s="1009">
        <v>1</v>
      </c>
      <c r="N60" s="1006" t="s">
        <v>728</v>
      </c>
      <c r="O60" s="1007">
        <f t="shared" si="0"/>
        <v>5.10222222222222</v>
      </c>
      <c r="P60" s="999"/>
    </row>
    <row r="61" customHeight="1" spans="1:16">
      <c r="A61" s="912" t="s">
        <v>729</v>
      </c>
      <c r="B61" s="913"/>
      <c r="C61" s="982">
        <f>2*D16/C38</f>
        <v>1481.74137931034</v>
      </c>
      <c r="D61" s="983" t="s">
        <v>730</v>
      </c>
      <c r="F61" s="979"/>
      <c r="G61" s="974">
        <v>40</v>
      </c>
      <c r="H61" s="975">
        <v>29</v>
      </c>
      <c r="I61" s="975" t="s">
        <v>731</v>
      </c>
      <c r="J61" s="1005"/>
      <c r="K61" s="919"/>
      <c r="L61" s="1005"/>
      <c r="M61" s="1009">
        <v>2</v>
      </c>
      <c r="N61" s="1006" t="s">
        <v>732</v>
      </c>
      <c r="O61" s="1007">
        <f t="shared" si="0"/>
        <v>10.1247222222222</v>
      </c>
      <c r="P61" s="999"/>
    </row>
    <row r="62" customHeight="1" spans="1:16">
      <c r="A62" s="912" t="s">
        <v>733</v>
      </c>
      <c r="B62" s="913"/>
      <c r="C62" s="982">
        <f>2*C18*TAN(RADIANS(C9))/C39</f>
        <v>2157.23902779805</v>
      </c>
      <c r="D62" s="983" t="s">
        <v>734</v>
      </c>
      <c r="F62" s="979"/>
      <c r="G62" s="984">
        <v>-50</v>
      </c>
      <c r="H62" s="975" t="s">
        <v>735</v>
      </c>
      <c r="I62" s="975" t="s">
        <v>736</v>
      </c>
      <c r="J62" s="1005"/>
      <c r="K62" s="919"/>
      <c r="L62" s="1005"/>
      <c r="M62" s="1009">
        <v>4</v>
      </c>
      <c r="N62" s="1006" t="s">
        <v>737</v>
      </c>
      <c r="O62" s="1007">
        <f t="shared" si="0"/>
        <v>19.6538888888889</v>
      </c>
      <c r="P62" s="999"/>
    </row>
    <row r="63" customHeight="1" spans="1:16">
      <c r="A63" s="912" t="s">
        <v>738</v>
      </c>
      <c r="B63" s="913"/>
      <c r="C63" s="939">
        <f>0.9*C39</f>
        <v>295.2</v>
      </c>
      <c r="D63" s="983" t="s">
        <v>739</v>
      </c>
      <c r="F63" s="979"/>
      <c r="G63" s="984">
        <v>-63</v>
      </c>
      <c r="H63" s="975" t="s">
        <v>740</v>
      </c>
      <c r="I63" s="975" t="s">
        <v>741</v>
      </c>
      <c r="J63" s="1005"/>
      <c r="K63" s="919"/>
      <c r="L63" s="1005"/>
      <c r="M63" s="1009">
        <v>6</v>
      </c>
      <c r="N63" s="1006" t="s">
        <v>742</v>
      </c>
      <c r="O63" s="1007">
        <f t="shared" si="0"/>
        <v>28.1786111111111</v>
      </c>
      <c r="P63" s="999"/>
    </row>
    <row r="64" customHeight="1" spans="1:16">
      <c r="A64" s="912" t="s">
        <v>743</v>
      </c>
      <c r="B64" s="913"/>
      <c r="C64" s="982">
        <f>C38-2*C36*(1+0.2)</f>
        <v>60.8</v>
      </c>
      <c r="D64" s="983" t="s">
        <v>744</v>
      </c>
      <c r="F64" s="979"/>
      <c r="G64" s="974">
        <v>80</v>
      </c>
      <c r="H64" s="975" t="s">
        <v>745</v>
      </c>
      <c r="I64" s="975" t="s">
        <v>724</v>
      </c>
      <c r="J64" s="1005">
        <v>35</v>
      </c>
      <c r="K64" s="919">
        <v>142</v>
      </c>
      <c r="L64" s="1005">
        <v>17.75</v>
      </c>
      <c r="M64" s="1009">
        <v>1</v>
      </c>
      <c r="N64" s="1010" t="s">
        <v>746</v>
      </c>
      <c r="O64" s="1011">
        <f t="shared" si="0"/>
        <v>3.22444444444444</v>
      </c>
      <c r="P64" s="999"/>
    </row>
    <row r="65" customHeight="1" spans="1:16">
      <c r="A65" s="912" t="s">
        <v>747</v>
      </c>
      <c r="B65" s="913"/>
      <c r="C65" s="956">
        <v>206000</v>
      </c>
      <c r="D65" s="983" t="s">
        <v>748</v>
      </c>
      <c r="F65" s="979"/>
      <c r="G65" s="974">
        <v>100</v>
      </c>
      <c r="H65" s="975" t="s">
        <v>749</v>
      </c>
      <c r="I65" s="975"/>
      <c r="J65" s="1005"/>
      <c r="K65" s="919"/>
      <c r="L65" s="1005"/>
      <c r="M65" s="1009"/>
      <c r="N65" s="1010"/>
      <c r="O65" s="1011"/>
      <c r="P65" s="999"/>
    </row>
    <row r="66" ht="16.5" customHeight="1" spans="1:16">
      <c r="A66" s="912" t="s">
        <v>750</v>
      </c>
      <c r="B66" s="913"/>
      <c r="C66" s="982">
        <f>PI()*C64^4/64</f>
        <v>670786.348987966</v>
      </c>
      <c r="D66" s="983" t="s">
        <v>751</v>
      </c>
      <c r="F66" s="979">
        <v>2.5</v>
      </c>
      <c r="G66" s="981"/>
      <c r="H66" s="975"/>
      <c r="I66" s="975"/>
      <c r="J66" s="1005">
        <v>28</v>
      </c>
      <c r="K66" s="919">
        <v>175</v>
      </c>
      <c r="L66" s="1005">
        <v>11.2</v>
      </c>
      <c r="M66" s="1009">
        <v>1</v>
      </c>
      <c r="N66" s="1006" t="s">
        <v>728</v>
      </c>
      <c r="O66" s="1007">
        <f t="shared" si="0"/>
        <v>5.10222222222222</v>
      </c>
      <c r="P66" s="999"/>
    </row>
    <row r="67" customHeight="1" spans="1:16">
      <c r="A67" s="912" t="s">
        <v>752</v>
      </c>
      <c r="B67" s="913"/>
      <c r="C67" s="1012">
        <f>C38/1000</f>
        <v>0.08</v>
      </c>
      <c r="D67" s="983" t="s">
        <v>753</v>
      </c>
      <c r="F67" s="979"/>
      <c r="G67" s="974">
        <v>50</v>
      </c>
      <c r="H67" s="975" t="s">
        <v>754</v>
      </c>
      <c r="I67" s="975" t="s">
        <v>731</v>
      </c>
      <c r="J67" s="1005"/>
      <c r="K67" s="919"/>
      <c r="L67" s="1005"/>
      <c r="M67" s="1009">
        <v>2</v>
      </c>
      <c r="N67" s="1006" t="s">
        <v>732</v>
      </c>
      <c r="O67" s="1007">
        <f t="shared" si="0"/>
        <v>10.1247222222222</v>
      </c>
      <c r="P67" s="999"/>
    </row>
    <row r="68" customHeight="1" spans="1:16">
      <c r="A68" s="912" t="s">
        <v>755</v>
      </c>
      <c r="B68" s="913"/>
      <c r="C68" s="1012">
        <f>(C61^2+C62^2)^(1/2)*C63^3/(48*C65*C66)</f>
        <v>0.010150267934024</v>
      </c>
      <c r="D68" s="983"/>
      <c r="F68" s="979"/>
      <c r="G68" s="984">
        <v>-63</v>
      </c>
      <c r="H68" s="975" t="s">
        <v>735</v>
      </c>
      <c r="I68" s="975" t="s">
        <v>736</v>
      </c>
      <c r="J68" s="1005"/>
      <c r="K68" s="919"/>
      <c r="L68" s="1005"/>
      <c r="M68" s="1009">
        <v>4</v>
      </c>
      <c r="N68" s="1006" t="s">
        <v>737</v>
      </c>
      <c r="O68" s="1007">
        <f t="shared" si="0"/>
        <v>19.6538888888889</v>
      </c>
      <c r="P68" s="999"/>
    </row>
    <row r="69" customHeight="1" spans="1:16">
      <c r="A69" s="940" t="s">
        <v>638</v>
      </c>
      <c r="B69" s="951" t="str">
        <f>IF(OR(C68&lt;C67,C68=C67),"y≤[y]","y＞[y]")</f>
        <v>y≤[y]</v>
      </c>
      <c r="C69" s="942" t="str">
        <f>IF(OR(C68&lt;C67,C68=C67),"校核通过","校核不通过，请重新选取")</f>
        <v>校核通过</v>
      </c>
      <c r="D69" s="943"/>
      <c r="F69" s="979"/>
      <c r="G69" s="984">
        <v>-80</v>
      </c>
      <c r="H69" s="975" t="s">
        <v>756</v>
      </c>
      <c r="I69" s="975" t="s">
        <v>757</v>
      </c>
      <c r="J69" s="1005"/>
      <c r="K69" s="919"/>
      <c r="L69" s="1005"/>
      <c r="M69" s="1009">
        <v>6</v>
      </c>
      <c r="N69" s="1006" t="s">
        <v>742</v>
      </c>
      <c r="O69" s="1007">
        <f t="shared" si="0"/>
        <v>28.1786111111111</v>
      </c>
      <c r="P69" s="999"/>
    </row>
    <row r="70" customHeight="1" spans="1:16">
      <c r="A70" s="894"/>
      <c r="D70" s="894"/>
      <c r="F70" s="979"/>
      <c r="G70" s="974">
        <v>100</v>
      </c>
      <c r="H70" s="975" t="s">
        <v>745</v>
      </c>
      <c r="I70" s="975" t="s">
        <v>758</v>
      </c>
      <c r="J70" s="1005">
        <v>45</v>
      </c>
      <c r="K70" s="919">
        <v>281.25</v>
      </c>
      <c r="L70" s="1005">
        <v>18</v>
      </c>
      <c r="M70" s="1009">
        <v>1</v>
      </c>
      <c r="N70" s="1010" t="s">
        <v>706</v>
      </c>
      <c r="O70" s="1011">
        <f t="shared" si="0"/>
        <v>3.17972222222222</v>
      </c>
      <c r="P70" s="999"/>
    </row>
    <row r="71" customHeight="1" spans="1:16">
      <c r="A71" s="897" t="s">
        <v>759</v>
      </c>
      <c r="B71" s="970"/>
      <c r="C71" s="970"/>
      <c r="D71" s="971"/>
      <c r="F71" s="979">
        <v>3.15</v>
      </c>
      <c r="G71" s="1013"/>
      <c r="H71" s="907"/>
      <c r="I71" s="907"/>
      <c r="J71" s="1005">
        <v>35</v>
      </c>
      <c r="K71" s="919">
        <v>352.25</v>
      </c>
      <c r="L71" s="1005">
        <v>11.27</v>
      </c>
      <c r="M71" s="1009">
        <v>1</v>
      </c>
      <c r="N71" s="1006" t="s">
        <v>760</v>
      </c>
      <c r="O71" s="1007">
        <f t="shared" si="0"/>
        <v>5.07083333333333</v>
      </c>
      <c r="P71" s="999"/>
    </row>
    <row r="72" customHeight="1" spans="1:16">
      <c r="A72" s="912" t="s">
        <v>761</v>
      </c>
      <c r="B72" s="913"/>
      <c r="C72" s="1014">
        <v>17</v>
      </c>
      <c r="D72" s="936" t="s">
        <v>762</v>
      </c>
      <c r="F72" s="979"/>
      <c r="G72" s="974">
        <v>63</v>
      </c>
      <c r="H72" s="975" t="s">
        <v>754</v>
      </c>
      <c r="I72" s="975" t="s">
        <v>763</v>
      </c>
      <c r="J72" s="1005"/>
      <c r="K72" s="919"/>
      <c r="L72" s="1005"/>
      <c r="M72" s="1009">
        <v>2</v>
      </c>
      <c r="N72" s="1006" t="s">
        <v>764</v>
      </c>
      <c r="O72" s="1007">
        <f t="shared" si="0"/>
        <v>10.0633333333333</v>
      </c>
      <c r="P72" s="999"/>
    </row>
    <row r="73" customHeight="1" spans="1:16">
      <c r="A73" s="912" t="s">
        <v>765</v>
      </c>
      <c r="B73" s="913"/>
      <c r="C73" s="1014">
        <v>65</v>
      </c>
      <c r="D73" s="1015" t="s">
        <v>766</v>
      </c>
      <c r="F73" s="979"/>
      <c r="G73" s="984">
        <v>-80</v>
      </c>
      <c r="H73" s="975" t="s">
        <v>735</v>
      </c>
      <c r="I73" s="975" t="s">
        <v>767</v>
      </c>
      <c r="J73" s="1005"/>
      <c r="K73" s="919"/>
      <c r="L73" s="1005"/>
      <c r="M73" s="1009">
        <v>4</v>
      </c>
      <c r="N73" s="1006" t="s">
        <v>768</v>
      </c>
      <c r="O73" s="1007">
        <f t="shared" si="0"/>
        <v>19.5413888888889</v>
      </c>
      <c r="P73" s="999"/>
    </row>
    <row r="74" customHeight="1" spans="1:16">
      <c r="A74" s="912" t="s">
        <v>769</v>
      </c>
      <c r="B74" s="913"/>
      <c r="C74" s="982">
        <v>20</v>
      </c>
      <c r="D74" s="983" t="s">
        <v>770</v>
      </c>
      <c r="F74" s="979"/>
      <c r="G74" s="974">
        <v>100</v>
      </c>
      <c r="H74" s="975" t="s">
        <v>756</v>
      </c>
      <c r="I74" s="975" t="s">
        <v>771</v>
      </c>
      <c r="J74" s="1005"/>
      <c r="K74" s="919"/>
      <c r="L74" s="1005"/>
      <c r="M74" s="1009">
        <v>6</v>
      </c>
      <c r="N74" s="1006" t="s">
        <v>772</v>
      </c>
      <c r="O74" s="1007">
        <f t="shared" si="0"/>
        <v>28.0305555555556</v>
      </c>
      <c r="P74" s="999"/>
    </row>
    <row r="75" customHeight="1" spans="1:16">
      <c r="A75" s="912" t="s">
        <v>773</v>
      </c>
      <c r="B75" s="913"/>
      <c r="C75" s="982">
        <f>1000*C15*(1-C45)/(C72*(80-C74))</f>
        <v>1.24809069420304</v>
      </c>
      <c r="D75" s="983"/>
      <c r="F75" s="979"/>
      <c r="G75" s="974">
        <v>125</v>
      </c>
      <c r="H75" s="975" t="s">
        <v>745</v>
      </c>
      <c r="I75" s="975" t="s">
        <v>774</v>
      </c>
      <c r="J75" s="1005">
        <v>56</v>
      </c>
      <c r="K75" s="919">
        <v>555.66</v>
      </c>
      <c r="L75" s="1005">
        <v>17.778</v>
      </c>
      <c r="M75" s="1009">
        <v>1</v>
      </c>
      <c r="N75" s="1010" t="s">
        <v>775</v>
      </c>
      <c r="O75" s="1011">
        <f t="shared" si="0"/>
        <v>3.21944444444444</v>
      </c>
      <c r="P75" s="999"/>
    </row>
    <row r="76" customHeight="1" spans="1:16">
      <c r="A76" s="912" t="s">
        <v>776</v>
      </c>
      <c r="B76" s="913"/>
      <c r="C76" s="982"/>
      <c r="D76" s="983" t="s">
        <v>777</v>
      </c>
      <c r="F76" s="979">
        <v>4</v>
      </c>
      <c r="G76" s="1016"/>
      <c r="H76" s="1017"/>
      <c r="I76" s="1017"/>
      <c r="J76" s="1005">
        <v>40</v>
      </c>
      <c r="K76" s="919">
        <v>640</v>
      </c>
      <c r="L76" s="1005">
        <v>10</v>
      </c>
      <c r="M76" s="1009">
        <v>1</v>
      </c>
      <c r="N76" s="1006" t="s">
        <v>778</v>
      </c>
      <c r="O76" s="1007">
        <f t="shared" si="0"/>
        <v>5.71055555555556</v>
      </c>
      <c r="P76" s="999"/>
    </row>
    <row r="77" customHeight="1" spans="1:16">
      <c r="A77" s="912" t="s">
        <v>779</v>
      </c>
      <c r="B77" s="913"/>
      <c r="C77" s="916">
        <f>1000*C15*(1-C45)/(C72*(C73-C74))</f>
        <v>1.66412092560406</v>
      </c>
      <c r="D77" s="983"/>
      <c r="F77" s="979"/>
      <c r="G77" s="974">
        <v>80</v>
      </c>
      <c r="H77" s="975" t="s">
        <v>780</v>
      </c>
      <c r="I77" s="975" t="s">
        <v>781</v>
      </c>
      <c r="J77" s="1005"/>
      <c r="K77" s="919"/>
      <c r="L77" s="1005"/>
      <c r="M77" s="1009">
        <v>2</v>
      </c>
      <c r="N77" s="1006" t="s">
        <v>782</v>
      </c>
      <c r="O77" s="1007">
        <f t="shared" si="0"/>
        <v>11.31</v>
      </c>
      <c r="P77" s="999"/>
    </row>
    <row r="78" customHeight="1" spans="1:16">
      <c r="A78" s="950" t="s">
        <v>783</v>
      </c>
      <c r="B78" s="951"/>
      <c r="C78" s="951"/>
      <c r="D78" s="952"/>
      <c r="F78" s="979"/>
      <c r="G78" s="984">
        <v>-100</v>
      </c>
      <c r="H78" s="975" t="s">
        <v>784</v>
      </c>
      <c r="I78" s="975" t="s">
        <v>785</v>
      </c>
      <c r="J78" s="1005"/>
      <c r="K78" s="919"/>
      <c r="L78" s="1005"/>
      <c r="M78" s="1009">
        <v>4</v>
      </c>
      <c r="N78" s="1006" t="s">
        <v>786</v>
      </c>
      <c r="O78" s="1007">
        <f t="shared" si="0"/>
        <v>21.8013888888889</v>
      </c>
      <c r="P78" s="999"/>
    </row>
    <row r="79" customHeight="1" spans="1:16">
      <c r="A79" s="1018" t="s">
        <v>787</v>
      </c>
      <c r="B79" s="1019"/>
      <c r="C79" s="1019"/>
      <c r="D79" s="1019"/>
      <c r="F79" s="979"/>
      <c r="G79" s="1020">
        <v>-125</v>
      </c>
      <c r="H79" s="975" t="s">
        <v>788</v>
      </c>
      <c r="I79" s="975" t="s">
        <v>789</v>
      </c>
      <c r="J79" s="1005"/>
      <c r="K79" s="919"/>
      <c r="L79" s="1005"/>
      <c r="M79" s="1009">
        <v>6</v>
      </c>
      <c r="N79" s="1006" t="s">
        <v>790</v>
      </c>
      <c r="O79" s="1007">
        <f t="shared" si="0"/>
        <v>30.9638888888889</v>
      </c>
      <c r="P79" s="999"/>
    </row>
    <row r="80" customHeight="1" spans="1:16">
      <c r="A80" s="1021"/>
      <c r="B80" s="1021"/>
      <c r="C80" s="1021"/>
      <c r="D80" s="1021"/>
      <c r="F80" s="979"/>
      <c r="G80" s="974">
        <v>160</v>
      </c>
      <c r="H80" s="1017" t="s">
        <v>745</v>
      </c>
      <c r="I80" s="975" t="s">
        <v>724</v>
      </c>
      <c r="J80" s="1005">
        <v>71</v>
      </c>
      <c r="K80" s="919">
        <v>1136</v>
      </c>
      <c r="L80" s="1005">
        <v>17.75</v>
      </c>
      <c r="M80" s="1009">
        <v>1</v>
      </c>
      <c r="N80" s="1010" t="s">
        <v>746</v>
      </c>
      <c r="O80" s="1011">
        <f t="shared" si="0"/>
        <v>3.22444444444444</v>
      </c>
      <c r="P80" s="999"/>
    </row>
    <row r="81" customHeight="1" spans="1:16">
      <c r="A81" s="1021"/>
      <c r="B81" s="1021"/>
      <c r="C81" s="1021"/>
      <c r="D81" s="1021"/>
      <c r="F81" s="979">
        <v>5</v>
      </c>
      <c r="G81" s="1022">
        <v>100</v>
      </c>
      <c r="H81" s="1023">
        <v>31</v>
      </c>
      <c r="I81" s="1023" t="s">
        <v>710</v>
      </c>
      <c r="J81" s="1005">
        <v>50</v>
      </c>
      <c r="K81" s="919">
        <v>1250</v>
      </c>
      <c r="L81" s="1005">
        <v>10</v>
      </c>
      <c r="M81" s="1009">
        <v>1</v>
      </c>
      <c r="N81" s="1006" t="s">
        <v>778</v>
      </c>
      <c r="O81" s="1007">
        <f t="shared" si="0"/>
        <v>5.71055555555556</v>
      </c>
      <c r="P81" s="999"/>
    </row>
    <row r="82" customHeight="1" spans="1:16">
      <c r="A82" s="1021"/>
      <c r="B82" s="1021"/>
      <c r="C82" s="1021"/>
      <c r="D82" s="1021"/>
      <c r="F82" s="979"/>
      <c r="G82" s="1024" t="s">
        <v>791</v>
      </c>
      <c r="H82" s="1023" t="s">
        <v>784</v>
      </c>
      <c r="I82" s="1052" t="s">
        <v>792</v>
      </c>
      <c r="J82" s="1005"/>
      <c r="K82" s="919"/>
      <c r="L82" s="1005"/>
      <c r="M82" s="1009">
        <v>2</v>
      </c>
      <c r="N82" s="1006" t="s">
        <v>782</v>
      </c>
      <c r="O82" s="1007">
        <f t="shared" si="0"/>
        <v>11.31</v>
      </c>
      <c r="P82" s="999"/>
    </row>
    <row r="83" customHeight="1" spans="1:16">
      <c r="A83" s="894"/>
      <c r="D83" s="900"/>
      <c r="F83" s="979"/>
      <c r="G83" s="1024" t="s">
        <v>793</v>
      </c>
      <c r="H83" s="1023" t="s">
        <v>756</v>
      </c>
      <c r="I83" s="1023" t="s">
        <v>794</v>
      </c>
      <c r="J83" s="1005"/>
      <c r="K83" s="919"/>
      <c r="L83" s="1005"/>
      <c r="M83" s="1009">
        <v>4</v>
      </c>
      <c r="N83" s="1006" t="s">
        <v>786</v>
      </c>
      <c r="O83" s="1007">
        <f t="shared" si="0"/>
        <v>21.8013888888889</v>
      </c>
      <c r="P83" s="999"/>
    </row>
    <row r="84" customHeight="1" spans="6:16">
      <c r="F84" s="979"/>
      <c r="G84" s="1024" t="s">
        <v>795</v>
      </c>
      <c r="H84" s="1023" t="s">
        <v>796</v>
      </c>
      <c r="I84" s="1023" t="s">
        <v>797</v>
      </c>
      <c r="J84" s="1005"/>
      <c r="K84" s="919"/>
      <c r="L84" s="1005"/>
      <c r="M84" s="1009">
        <v>6</v>
      </c>
      <c r="N84" s="1006" t="s">
        <v>790</v>
      </c>
      <c r="O84" s="1007">
        <f t="shared" si="0"/>
        <v>30.9638888888889</v>
      </c>
      <c r="P84" s="999"/>
    </row>
    <row r="85" customHeight="1" spans="1:16">
      <c r="A85" s="894"/>
      <c r="D85" s="894"/>
      <c r="F85" s="979"/>
      <c r="G85" s="974">
        <v>200</v>
      </c>
      <c r="H85" s="975" t="s">
        <v>745</v>
      </c>
      <c r="I85" s="975" t="s">
        <v>758</v>
      </c>
      <c r="J85" s="1005">
        <v>90</v>
      </c>
      <c r="K85" s="919">
        <v>2250</v>
      </c>
      <c r="L85" s="1005">
        <v>18</v>
      </c>
      <c r="M85" s="1009">
        <v>1</v>
      </c>
      <c r="N85" s="1010" t="s">
        <v>706</v>
      </c>
      <c r="O85" s="1011">
        <f t="shared" si="0"/>
        <v>3.17972222222222</v>
      </c>
      <c r="P85" s="999"/>
    </row>
    <row r="86" customHeight="1" spans="1:16">
      <c r="A86" s="894"/>
      <c r="D86" s="894"/>
      <c r="F86" s="979">
        <v>6.3</v>
      </c>
      <c r="G86" s="1022" t="s">
        <v>798</v>
      </c>
      <c r="H86" s="1023" t="s">
        <v>780</v>
      </c>
      <c r="I86" s="1023" t="s">
        <v>799</v>
      </c>
      <c r="J86" s="1005">
        <v>63</v>
      </c>
      <c r="K86" s="919">
        <v>2500.47</v>
      </c>
      <c r="L86" s="1005">
        <v>10</v>
      </c>
      <c r="M86" s="1009">
        <v>1</v>
      </c>
      <c r="N86" s="919" t="s">
        <v>778</v>
      </c>
      <c r="O86" s="1007">
        <f t="shared" si="0"/>
        <v>5.71055555555556</v>
      </c>
      <c r="P86" s="999"/>
    </row>
    <row r="87" customHeight="1" spans="1:16">
      <c r="A87" s="894"/>
      <c r="D87" s="894"/>
      <c r="F87" s="979"/>
      <c r="G87" s="1024" t="s">
        <v>793</v>
      </c>
      <c r="H87" s="1023" t="s">
        <v>784</v>
      </c>
      <c r="I87" s="1023" t="s">
        <v>800</v>
      </c>
      <c r="J87" s="1005"/>
      <c r="K87" s="919"/>
      <c r="L87" s="1005"/>
      <c r="M87" s="1009">
        <v>2</v>
      </c>
      <c r="N87" s="919" t="s">
        <v>782</v>
      </c>
      <c r="O87" s="1007">
        <f t="shared" si="0"/>
        <v>11.31</v>
      </c>
      <c r="P87" s="999"/>
    </row>
    <row r="88" customHeight="1" spans="1:16">
      <c r="A88" s="894"/>
      <c r="D88" s="894"/>
      <c r="F88" s="979"/>
      <c r="G88" s="1024" t="s">
        <v>795</v>
      </c>
      <c r="H88" s="1023" t="s">
        <v>801</v>
      </c>
      <c r="I88" s="1023" t="s">
        <v>802</v>
      </c>
      <c r="J88" s="1005"/>
      <c r="K88" s="919"/>
      <c r="L88" s="1005"/>
      <c r="M88" s="1009">
        <v>4</v>
      </c>
      <c r="N88" s="919" t="s">
        <v>786</v>
      </c>
      <c r="O88" s="1007">
        <f t="shared" si="0"/>
        <v>21.8013888888889</v>
      </c>
      <c r="P88" s="999"/>
    </row>
    <row r="89" customHeight="1" spans="1:16">
      <c r="A89" s="894"/>
      <c r="D89" s="894"/>
      <c r="F89" s="979"/>
      <c r="G89" s="1024" t="s">
        <v>803</v>
      </c>
      <c r="H89" s="1023" t="s">
        <v>756</v>
      </c>
      <c r="I89" s="1023" t="s">
        <v>804</v>
      </c>
      <c r="J89" s="1005"/>
      <c r="K89" s="919"/>
      <c r="L89" s="1005"/>
      <c r="M89" s="1009">
        <v>6</v>
      </c>
      <c r="N89" s="919" t="s">
        <v>790</v>
      </c>
      <c r="O89" s="1007">
        <f t="shared" si="0"/>
        <v>30.9638888888889</v>
      </c>
      <c r="P89" s="999"/>
    </row>
    <row r="90" customHeight="1" spans="1:16">
      <c r="A90" s="1025" t="s">
        <v>805</v>
      </c>
      <c r="B90" s="1026"/>
      <c r="C90" s="1026"/>
      <c r="D90" s="1026"/>
      <c r="F90" s="979"/>
      <c r="G90" s="974">
        <v>250</v>
      </c>
      <c r="H90" s="975" t="s">
        <v>806</v>
      </c>
      <c r="I90" s="975" t="s">
        <v>807</v>
      </c>
      <c r="J90" s="1005">
        <v>112</v>
      </c>
      <c r="K90" s="919">
        <v>4445.28</v>
      </c>
      <c r="L90" s="1005">
        <v>17.778</v>
      </c>
      <c r="M90" s="1009">
        <v>1</v>
      </c>
      <c r="N90" s="1010" t="s">
        <v>775</v>
      </c>
      <c r="O90" s="1011">
        <f t="shared" si="0"/>
        <v>3.21944444444444</v>
      </c>
      <c r="P90" s="999"/>
    </row>
    <row r="91" customHeight="1" spans="1:16">
      <c r="A91" s="894" t="s">
        <v>808</v>
      </c>
      <c r="B91" s="894"/>
      <c r="C91" s="894"/>
      <c r="D91" s="894"/>
      <c r="F91" s="979">
        <v>8</v>
      </c>
      <c r="G91" s="1022" t="s">
        <v>809</v>
      </c>
      <c r="H91" s="1023" t="s">
        <v>780</v>
      </c>
      <c r="I91" s="1023" t="s">
        <v>710</v>
      </c>
      <c r="J91" s="1005">
        <v>80</v>
      </c>
      <c r="K91" s="919">
        <v>5120</v>
      </c>
      <c r="L91" s="1005">
        <v>10</v>
      </c>
      <c r="M91" s="1009">
        <v>1</v>
      </c>
      <c r="N91" s="919" t="s">
        <v>778</v>
      </c>
      <c r="O91" s="1007">
        <f t="shared" si="0"/>
        <v>5.71055555555556</v>
      </c>
      <c r="P91" s="999"/>
    </row>
    <row r="92" customHeight="1" spans="1:16">
      <c r="A92" s="902" t="s">
        <v>575</v>
      </c>
      <c r="B92" s="1027" t="s">
        <v>676</v>
      </c>
      <c r="C92" s="1027" t="s">
        <v>810</v>
      </c>
      <c r="D92" s="1027" t="s">
        <v>811</v>
      </c>
      <c r="F92" s="979"/>
      <c r="G92" s="1024" t="s">
        <v>803</v>
      </c>
      <c r="H92" s="1023" t="s">
        <v>784</v>
      </c>
      <c r="I92" s="1023" t="s">
        <v>797</v>
      </c>
      <c r="J92" s="1005"/>
      <c r="K92" s="919"/>
      <c r="L92" s="1005"/>
      <c r="M92" s="1009">
        <v>2</v>
      </c>
      <c r="N92" s="919" t="s">
        <v>782</v>
      </c>
      <c r="O92" s="1007">
        <f t="shared" si="0"/>
        <v>11.31</v>
      </c>
      <c r="P92" s="999"/>
    </row>
    <row r="93" customHeight="1" spans="1:16">
      <c r="A93" s="1028" t="s">
        <v>812</v>
      </c>
      <c r="B93" s="934" t="s">
        <v>686</v>
      </c>
      <c r="C93" s="992">
        <v>40</v>
      </c>
      <c r="D93" s="992">
        <v>29</v>
      </c>
      <c r="F93" s="979"/>
      <c r="G93" s="1024" t="s">
        <v>813</v>
      </c>
      <c r="H93" s="1023" t="s">
        <v>814</v>
      </c>
      <c r="I93" s="1023" t="s">
        <v>815</v>
      </c>
      <c r="J93" s="1005"/>
      <c r="K93" s="919"/>
      <c r="L93" s="1005"/>
      <c r="M93" s="1009">
        <v>4</v>
      </c>
      <c r="N93" s="919" t="s">
        <v>786</v>
      </c>
      <c r="O93" s="1007">
        <f t="shared" si="0"/>
        <v>21.8013888888889</v>
      </c>
      <c r="P93" s="999"/>
    </row>
    <row r="94" customHeight="1" spans="1:16">
      <c r="A94" s="1028"/>
      <c r="B94" s="906" t="s">
        <v>689</v>
      </c>
      <c r="C94" s="906">
        <v>56</v>
      </c>
      <c r="D94" s="906">
        <v>40</v>
      </c>
      <c r="F94" s="979"/>
      <c r="G94" s="1024" t="s">
        <v>816</v>
      </c>
      <c r="H94" s="1023" t="s">
        <v>817</v>
      </c>
      <c r="I94" s="1023" t="s">
        <v>818</v>
      </c>
      <c r="J94" s="1005"/>
      <c r="K94" s="919"/>
      <c r="L94" s="1005"/>
      <c r="M94" s="1009">
        <v>6</v>
      </c>
      <c r="N94" s="919" t="s">
        <v>790</v>
      </c>
      <c r="O94" s="1007">
        <f t="shared" si="0"/>
        <v>30.9638888888889</v>
      </c>
      <c r="P94" s="999"/>
    </row>
    <row r="95" customHeight="1" spans="1:16">
      <c r="A95" s="338" t="s">
        <v>819</v>
      </c>
      <c r="B95" s="934" t="s">
        <v>686</v>
      </c>
      <c r="C95" s="906">
        <v>26</v>
      </c>
      <c r="D95" s="906">
        <v>22</v>
      </c>
      <c r="F95" s="1029" t="s">
        <v>820</v>
      </c>
      <c r="G95" s="1030"/>
      <c r="H95" s="1031"/>
      <c r="I95" s="1031"/>
      <c r="J95" s="1053"/>
      <c r="K95" s="1053"/>
      <c r="L95" s="1053"/>
      <c r="M95" s="1054"/>
      <c r="N95" s="1053"/>
      <c r="O95" s="1055"/>
      <c r="P95" s="999"/>
    </row>
    <row r="96" customHeight="1" spans="1:7">
      <c r="A96" s="1032"/>
      <c r="B96" s="906" t="s">
        <v>689</v>
      </c>
      <c r="C96" s="906">
        <v>32</v>
      </c>
      <c r="D96" s="906">
        <v>26</v>
      </c>
      <c r="E96" s="1025" t="s">
        <v>821</v>
      </c>
      <c r="F96" s="1033"/>
      <c r="G96" s="1034"/>
    </row>
    <row r="97" customHeight="1" spans="1:6">
      <c r="A97" s="338" t="s">
        <v>822</v>
      </c>
      <c r="B97" s="934" t="s">
        <v>686</v>
      </c>
      <c r="C97" s="906">
        <v>80</v>
      </c>
      <c r="D97" s="906">
        <v>57</v>
      </c>
      <c r="E97" s="1025"/>
      <c r="F97" s="1035" t="s">
        <v>823</v>
      </c>
    </row>
    <row r="98" customHeight="1" spans="1:16">
      <c r="A98" s="1032"/>
      <c r="B98" s="906" t="s">
        <v>689</v>
      </c>
      <c r="C98" s="906">
        <v>90</v>
      </c>
      <c r="D98" s="906">
        <v>64</v>
      </c>
      <c r="E98" s="1036"/>
      <c r="F98" s="935" t="s">
        <v>575</v>
      </c>
      <c r="G98" s="953" t="s">
        <v>576</v>
      </c>
      <c r="H98" s="990"/>
      <c r="I98" s="990"/>
      <c r="J98" s="991"/>
      <c r="K98" s="907" t="s">
        <v>824</v>
      </c>
      <c r="L98" s="907"/>
      <c r="M98" s="907" t="s">
        <v>462</v>
      </c>
      <c r="N98" s="907"/>
      <c r="O98" s="907"/>
      <c r="P98" s="907"/>
    </row>
    <row r="99" customHeight="1" spans="1:16">
      <c r="A99" s="1037" t="s">
        <v>462</v>
      </c>
      <c r="B99" s="906" t="s">
        <v>825</v>
      </c>
      <c r="C99" s="906">
        <v>40</v>
      </c>
      <c r="D99" s="906">
        <v>28</v>
      </c>
      <c r="F99" s="935" t="s">
        <v>826</v>
      </c>
      <c r="G99" s="953" t="s">
        <v>827</v>
      </c>
      <c r="H99" s="991"/>
      <c r="I99" s="907" t="s">
        <v>828</v>
      </c>
      <c r="J99" s="907"/>
      <c r="K99" s="935" t="s">
        <v>827</v>
      </c>
      <c r="L99" s="935" t="s">
        <v>828</v>
      </c>
      <c r="M99" s="907" t="s">
        <v>827</v>
      </c>
      <c r="N99" s="907"/>
      <c r="O99" s="907" t="s">
        <v>828</v>
      </c>
      <c r="P99" s="907"/>
    </row>
    <row r="100" customHeight="1" spans="1:16">
      <c r="A100" s="1032"/>
      <c r="B100" s="906" t="s">
        <v>829</v>
      </c>
      <c r="C100" s="906">
        <v>48</v>
      </c>
      <c r="D100" s="906">
        <v>34</v>
      </c>
      <c r="F100" s="935" t="s">
        <v>683</v>
      </c>
      <c r="G100" s="935" t="s">
        <v>830</v>
      </c>
      <c r="H100" s="935" t="s">
        <v>831</v>
      </c>
      <c r="I100" s="935" t="s">
        <v>830</v>
      </c>
      <c r="J100" s="935" t="s">
        <v>831</v>
      </c>
      <c r="K100" s="935" t="s">
        <v>830</v>
      </c>
      <c r="L100" s="935" t="s">
        <v>831</v>
      </c>
      <c r="M100" s="935" t="s">
        <v>830</v>
      </c>
      <c r="N100" s="935" t="s">
        <v>831</v>
      </c>
      <c r="O100" s="935" t="s">
        <v>830</v>
      </c>
      <c r="P100" s="935" t="s">
        <v>831</v>
      </c>
    </row>
    <row r="101" customHeight="1" spans="1:16">
      <c r="A101" s="1038" t="s">
        <v>832</v>
      </c>
      <c r="B101" s="1038"/>
      <c r="C101" s="1038"/>
      <c r="D101" s="1038"/>
      <c r="F101" s="1039">
        <v>0.01</v>
      </c>
      <c r="G101" s="1040">
        <v>0.11</v>
      </c>
      <c r="H101" s="1041">
        <v>6.283</v>
      </c>
      <c r="I101" s="1040">
        <v>0.12</v>
      </c>
      <c r="J101" s="1041">
        <v>6.85</v>
      </c>
      <c r="K101" s="1040">
        <v>0.18</v>
      </c>
      <c r="L101" s="1041">
        <v>10.2</v>
      </c>
      <c r="M101" s="1040">
        <v>0.18</v>
      </c>
      <c r="N101" s="1041">
        <v>10.2</v>
      </c>
      <c r="O101" s="1040">
        <v>0.19</v>
      </c>
      <c r="P101" s="1041">
        <v>10.75</v>
      </c>
    </row>
    <row r="102" customHeight="1" spans="1:16">
      <c r="A102" s="1042"/>
      <c r="B102" s="1042"/>
      <c r="C102" s="1042"/>
      <c r="D102" s="1042"/>
      <c r="F102" s="1039">
        <v>0.05</v>
      </c>
      <c r="G102" s="1040">
        <v>0.09</v>
      </c>
      <c r="H102" s="1041">
        <v>5.15</v>
      </c>
      <c r="I102" s="1040">
        <v>0.1</v>
      </c>
      <c r="J102" s="1041">
        <v>5.717</v>
      </c>
      <c r="K102" s="1040">
        <v>0.14</v>
      </c>
      <c r="L102" s="1041">
        <v>7.967</v>
      </c>
      <c r="M102" s="1040">
        <v>0.14</v>
      </c>
      <c r="N102" s="1041">
        <v>7.967</v>
      </c>
      <c r="O102" s="1040">
        <v>0.16</v>
      </c>
      <c r="P102" s="1041">
        <v>9.083</v>
      </c>
    </row>
    <row r="103" customHeight="1" spans="1:16">
      <c r="A103" s="1025"/>
      <c r="B103" s="1026"/>
      <c r="C103" s="1026"/>
      <c r="D103" s="1026"/>
      <c r="F103" s="1039">
        <v>0.1</v>
      </c>
      <c r="G103" s="1040">
        <v>0.08</v>
      </c>
      <c r="H103" s="1041">
        <v>4.567</v>
      </c>
      <c r="I103" s="1040">
        <v>0.09</v>
      </c>
      <c r="J103" s="1041">
        <v>5.15</v>
      </c>
      <c r="K103" s="1040">
        <v>0.13</v>
      </c>
      <c r="L103" s="1041">
        <v>7.4</v>
      </c>
      <c r="M103" s="1040">
        <v>0.13</v>
      </c>
      <c r="N103" s="1041">
        <v>7.4</v>
      </c>
      <c r="O103" s="1040">
        <v>0.14</v>
      </c>
      <c r="P103" s="1041">
        <v>7.967</v>
      </c>
    </row>
    <row r="104" customHeight="1" spans="1:16">
      <c r="A104" s="1043" t="s">
        <v>833</v>
      </c>
      <c r="B104" s="1044"/>
      <c r="C104" s="1044"/>
      <c r="D104" s="1045"/>
      <c r="F104" s="1039">
        <v>0.25</v>
      </c>
      <c r="G104" s="1040">
        <v>0.065</v>
      </c>
      <c r="H104" s="1041">
        <v>3.717</v>
      </c>
      <c r="I104" s="1040">
        <v>0.075</v>
      </c>
      <c r="J104" s="1041">
        <v>4.283</v>
      </c>
      <c r="K104" s="1040">
        <v>0.1</v>
      </c>
      <c r="L104" s="1041">
        <v>5.717</v>
      </c>
      <c r="M104" s="1040">
        <v>0.1</v>
      </c>
      <c r="N104" s="1041">
        <v>5.717</v>
      </c>
      <c r="O104" s="1040">
        <v>0.12</v>
      </c>
      <c r="P104" s="1041">
        <v>0.85</v>
      </c>
    </row>
    <row r="105" customHeight="1" spans="1:16">
      <c r="A105" s="1046"/>
      <c r="B105" s="1047"/>
      <c r="C105" s="1047"/>
      <c r="D105" s="1048"/>
      <c r="F105" s="1039">
        <v>0.5</v>
      </c>
      <c r="G105" s="1040">
        <v>0.055</v>
      </c>
      <c r="H105" s="1041">
        <v>3.15</v>
      </c>
      <c r="I105" s="1040">
        <v>0.065</v>
      </c>
      <c r="J105" s="1041">
        <v>3.717</v>
      </c>
      <c r="K105" s="1040">
        <v>0.09</v>
      </c>
      <c r="L105" s="1041">
        <v>5.15</v>
      </c>
      <c r="M105" s="1040">
        <v>0.09</v>
      </c>
      <c r="N105" s="1041">
        <v>5.15</v>
      </c>
      <c r="O105" s="1040">
        <v>0.1</v>
      </c>
      <c r="P105" s="1041">
        <v>5.717</v>
      </c>
    </row>
    <row r="106" customHeight="1" spans="1:16">
      <c r="A106" s="1046"/>
      <c r="B106" s="1047"/>
      <c r="C106" s="1047"/>
      <c r="D106" s="1048"/>
      <c r="F106" s="1039">
        <v>1</v>
      </c>
      <c r="G106" s="1040">
        <v>0.045</v>
      </c>
      <c r="H106" s="1041">
        <v>2.767</v>
      </c>
      <c r="I106" s="1040">
        <v>0.055</v>
      </c>
      <c r="J106" s="1041">
        <v>3.15</v>
      </c>
      <c r="K106" s="1040">
        <v>0.07</v>
      </c>
      <c r="L106" s="1041">
        <v>4</v>
      </c>
      <c r="M106" s="1040">
        <v>0.07</v>
      </c>
      <c r="N106" s="1041">
        <v>4</v>
      </c>
      <c r="O106" s="1040">
        <v>0.09</v>
      </c>
      <c r="P106" s="1041">
        <v>5.15</v>
      </c>
    </row>
    <row r="107" customHeight="1" spans="1:16">
      <c r="A107" s="1046"/>
      <c r="B107" s="1047"/>
      <c r="C107" s="1047"/>
      <c r="D107" s="1048"/>
      <c r="F107" s="1039">
        <v>1.5</v>
      </c>
      <c r="G107" s="1040">
        <v>0.04</v>
      </c>
      <c r="H107" s="1041">
        <v>2.283</v>
      </c>
      <c r="I107" s="1040">
        <v>0.05</v>
      </c>
      <c r="J107" s="1041">
        <v>2.867</v>
      </c>
      <c r="K107" s="1040">
        <v>0.065</v>
      </c>
      <c r="L107" s="1041">
        <v>3.717</v>
      </c>
      <c r="M107" s="1040">
        <v>0.065</v>
      </c>
      <c r="N107" s="1041">
        <v>3.717</v>
      </c>
      <c r="O107" s="1040">
        <v>0.08</v>
      </c>
      <c r="P107" s="1041">
        <v>4.567</v>
      </c>
    </row>
    <row r="108" customHeight="1" spans="1:16">
      <c r="A108" s="1046"/>
      <c r="B108" s="1047"/>
      <c r="C108" s="1047"/>
      <c r="D108" s="1048"/>
      <c r="F108" s="1039">
        <v>2</v>
      </c>
      <c r="G108" s="1040">
        <v>0.035</v>
      </c>
      <c r="H108" s="1041">
        <v>2</v>
      </c>
      <c r="I108" s="1040">
        <v>0.045</v>
      </c>
      <c r="J108" s="1041">
        <v>2.583</v>
      </c>
      <c r="K108" s="1040">
        <v>0.055</v>
      </c>
      <c r="L108" s="1041">
        <v>3.15</v>
      </c>
      <c r="M108" s="1040">
        <v>0.055</v>
      </c>
      <c r="N108" s="1041">
        <v>3.15</v>
      </c>
      <c r="O108" s="1040">
        <v>0.07</v>
      </c>
      <c r="P108" s="1041">
        <v>4</v>
      </c>
    </row>
    <row r="109" customHeight="1" spans="1:16">
      <c r="A109" s="1046"/>
      <c r="B109" s="1047"/>
      <c r="C109" s="1047"/>
      <c r="D109" s="1048"/>
      <c r="F109" s="1039">
        <v>2.5</v>
      </c>
      <c r="G109" s="1040">
        <v>0.03</v>
      </c>
      <c r="H109" s="1041">
        <v>1.717</v>
      </c>
      <c r="I109" s="1040">
        <v>0.04</v>
      </c>
      <c r="J109" s="1041">
        <v>2.283</v>
      </c>
      <c r="K109" s="1040">
        <v>0.05</v>
      </c>
      <c r="L109" s="1041">
        <v>2.867</v>
      </c>
      <c r="M109" s="1040"/>
      <c r="N109" s="1040"/>
      <c r="O109" s="1040"/>
      <c r="P109" s="1040"/>
    </row>
    <row r="110" customHeight="1" spans="1:16">
      <c r="A110" s="1046"/>
      <c r="B110" s="1047"/>
      <c r="C110" s="1047"/>
      <c r="D110" s="1048"/>
      <c r="F110" s="1039">
        <v>3</v>
      </c>
      <c r="G110" s="1040">
        <v>0.028</v>
      </c>
      <c r="H110" s="1041">
        <v>1.6</v>
      </c>
      <c r="I110" s="1040">
        <v>0.035</v>
      </c>
      <c r="J110" s="1041">
        <v>2</v>
      </c>
      <c r="K110" s="1040">
        <v>0.045</v>
      </c>
      <c r="L110" s="1041">
        <v>2.583</v>
      </c>
      <c r="M110" s="1040"/>
      <c r="N110" s="1040"/>
      <c r="O110" s="1040"/>
      <c r="P110" s="1040"/>
    </row>
    <row r="111" customHeight="1" spans="1:16">
      <c r="A111" s="1046"/>
      <c r="B111" s="1047"/>
      <c r="C111" s="1047"/>
      <c r="D111" s="1048"/>
      <c r="F111" s="1039">
        <v>4</v>
      </c>
      <c r="G111" s="1040">
        <v>0.024</v>
      </c>
      <c r="H111" s="1041">
        <v>1.367</v>
      </c>
      <c r="I111" s="1040">
        <v>0.031</v>
      </c>
      <c r="J111" s="1041">
        <v>1.783</v>
      </c>
      <c r="K111" s="1040">
        <v>0.04</v>
      </c>
      <c r="L111" s="1041">
        <v>2.283</v>
      </c>
      <c r="M111" s="1040"/>
      <c r="N111" s="1040"/>
      <c r="O111" s="1040"/>
      <c r="P111" s="1040"/>
    </row>
    <row r="112" customHeight="1" spans="1:16">
      <c r="A112" s="1046"/>
      <c r="B112" s="1047"/>
      <c r="C112" s="1047"/>
      <c r="D112" s="1048"/>
      <c r="F112" s="1039">
        <v>5</v>
      </c>
      <c r="G112" s="1040">
        <v>0.022</v>
      </c>
      <c r="H112" s="1041">
        <v>1.267</v>
      </c>
      <c r="I112" s="1040">
        <v>0.029</v>
      </c>
      <c r="J112" s="1041">
        <v>1.667</v>
      </c>
      <c r="K112" s="1040">
        <v>0.035</v>
      </c>
      <c r="L112" s="1041">
        <v>2</v>
      </c>
      <c r="M112" s="1040"/>
      <c r="N112" s="1040"/>
      <c r="O112" s="1040"/>
      <c r="P112" s="1040"/>
    </row>
    <row r="113" customHeight="1" spans="1:16">
      <c r="A113" s="1046"/>
      <c r="B113" s="1047"/>
      <c r="C113" s="1047"/>
      <c r="D113" s="1048"/>
      <c r="F113" s="1039">
        <v>8</v>
      </c>
      <c r="G113" s="1040">
        <v>0.018</v>
      </c>
      <c r="H113" s="1041">
        <v>1.033</v>
      </c>
      <c r="I113" s="1040">
        <v>0.026</v>
      </c>
      <c r="J113" s="1041">
        <v>1.483</v>
      </c>
      <c r="K113" s="1040">
        <v>0.03</v>
      </c>
      <c r="L113" s="1041">
        <v>1.717</v>
      </c>
      <c r="M113" s="1040"/>
      <c r="N113" s="1040"/>
      <c r="O113" s="1040"/>
      <c r="P113" s="1040"/>
    </row>
    <row r="114" customHeight="1" spans="1:16">
      <c r="A114" s="1046"/>
      <c r="B114" s="1047"/>
      <c r="C114" s="1047"/>
      <c r="D114" s="1048"/>
      <c r="F114" s="1039">
        <v>10</v>
      </c>
      <c r="G114" s="1040">
        <v>0.016</v>
      </c>
      <c r="H114" s="1041">
        <v>0.917</v>
      </c>
      <c r="I114" s="1040">
        <v>0.024</v>
      </c>
      <c r="J114" s="1041">
        <v>1.367</v>
      </c>
      <c r="K114" s="1040"/>
      <c r="L114" s="1041"/>
      <c r="M114" s="1040"/>
      <c r="N114" s="1040"/>
      <c r="O114" s="1040"/>
      <c r="P114" s="1040"/>
    </row>
    <row r="115" customHeight="1" spans="1:16">
      <c r="A115" s="1049"/>
      <c r="B115" s="1050"/>
      <c r="C115" s="1050"/>
      <c r="D115" s="1051"/>
      <c r="F115" s="1039">
        <v>15</v>
      </c>
      <c r="G115" s="1040">
        <v>0.014</v>
      </c>
      <c r="H115" s="1041">
        <v>0.8</v>
      </c>
      <c r="I115" s="1040">
        <v>0.02</v>
      </c>
      <c r="J115" s="1041">
        <v>1.15</v>
      </c>
      <c r="K115" s="1040"/>
      <c r="L115" s="1041"/>
      <c r="M115" s="1040"/>
      <c r="N115" s="1040"/>
      <c r="O115" s="1040"/>
      <c r="P115" s="1040"/>
    </row>
    <row r="116" customHeight="1" spans="1:16">
      <c r="A116" s="707" t="s">
        <v>834</v>
      </c>
      <c r="B116" s="708"/>
      <c r="C116" s="708"/>
      <c r="D116" s="709"/>
      <c r="F116" s="1039">
        <v>24</v>
      </c>
      <c r="G116" s="1040">
        <v>0.013</v>
      </c>
      <c r="H116" s="1041">
        <v>0.75</v>
      </c>
      <c r="I116" s="1040"/>
      <c r="J116" s="1040"/>
      <c r="K116" s="1040"/>
      <c r="L116" s="1041"/>
      <c r="M116" s="1040"/>
      <c r="N116" s="1040"/>
      <c r="O116" s="1040"/>
      <c r="P116" s="1040"/>
    </row>
    <row r="117" customHeight="1" spans="1:4">
      <c r="A117" s="564"/>
      <c r="B117" s="565"/>
      <c r="C117" s="565"/>
      <c r="D117" s="566"/>
    </row>
    <row r="118" customHeight="1" spans="1:6">
      <c r="A118" s="564"/>
      <c r="B118" s="565"/>
      <c r="C118" s="565"/>
      <c r="D118" s="566"/>
      <c r="F118" s="894" t="s">
        <v>835</v>
      </c>
    </row>
    <row r="119" customHeight="1" spans="1:4">
      <c r="A119" s="564"/>
      <c r="B119" s="565"/>
      <c r="C119" s="565"/>
      <c r="D119" s="566"/>
    </row>
    <row r="120" customHeight="1" spans="1:4">
      <c r="A120" s="564"/>
      <c r="B120" s="565"/>
      <c r="C120" s="565"/>
      <c r="D120" s="566"/>
    </row>
    <row r="121" customHeight="1" spans="1:4">
      <c r="A121" s="564"/>
      <c r="B121" s="565"/>
      <c r="C121" s="565"/>
      <c r="D121" s="566"/>
    </row>
    <row r="122" customHeight="1" spans="1:4">
      <c r="A122" s="567"/>
      <c r="B122" s="568"/>
      <c r="C122" s="568"/>
      <c r="D122" s="569"/>
    </row>
    <row r="123" customHeight="1" spans="1:4">
      <c r="A123" s="806"/>
      <c r="B123" s="806"/>
      <c r="C123" s="806"/>
      <c r="D123" s="806"/>
    </row>
    <row r="124" customHeight="1" spans="1:4">
      <c r="A124" s="894" t="s">
        <v>836</v>
      </c>
      <c r="D124" s="894"/>
    </row>
    <row r="125" customHeight="1" spans="1:4">
      <c r="A125" s="935" t="s">
        <v>101</v>
      </c>
      <c r="B125" s="906" t="s">
        <v>837</v>
      </c>
      <c r="C125" s="906" t="s">
        <v>838</v>
      </c>
      <c r="D125" s="935" t="s">
        <v>839</v>
      </c>
    </row>
    <row r="126" customHeight="1" spans="1:4">
      <c r="A126" s="935" t="s">
        <v>840</v>
      </c>
      <c r="B126" s="906" t="s">
        <v>841</v>
      </c>
      <c r="C126" s="906" t="s">
        <v>842</v>
      </c>
      <c r="D126" s="935" t="s">
        <v>843</v>
      </c>
    </row>
    <row r="127" customHeight="1" spans="1:4">
      <c r="A127" s="935" t="s">
        <v>844</v>
      </c>
      <c r="B127" s="906" t="s">
        <v>827</v>
      </c>
      <c r="C127" s="906" t="s">
        <v>827</v>
      </c>
      <c r="D127" s="935" t="s">
        <v>845</v>
      </c>
    </row>
    <row r="128" customHeight="1" spans="1:4">
      <c r="A128" s="935" t="s">
        <v>846</v>
      </c>
      <c r="B128" s="907" t="s">
        <v>847</v>
      </c>
      <c r="C128" s="907"/>
      <c r="D128" s="935" t="s">
        <v>848</v>
      </c>
    </row>
    <row r="129" customHeight="1" spans="1:4">
      <c r="A129" s="935" t="s">
        <v>65</v>
      </c>
      <c r="B129" s="907" t="s">
        <v>849</v>
      </c>
      <c r="C129" s="907"/>
      <c r="D129" s="935"/>
    </row>
    <row r="130" customHeight="1" spans="1:4">
      <c r="A130" s="1025"/>
      <c r="B130" s="1056"/>
      <c r="C130" s="1056"/>
      <c r="D130" s="1025"/>
    </row>
    <row r="131" customHeight="1" spans="1:4">
      <c r="A131" s="894" t="s">
        <v>850</v>
      </c>
      <c r="B131" s="1056"/>
      <c r="C131" s="1056"/>
      <c r="D131" s="1025"/>
    </row>
    <row r="132" customHeight="1" spans="1:4">
      <c r="A132" s="935" t="s">
        <v>101</v>
      </c>
      <c r="B132" s="906" t="s">
        <v>851</v>
      </c>
      <c r="C132" s="906" t="s">
        <v>852</v>
      </c>
      <c r="D132" s="935" t="s">
        <v>853</v>
      </c>
    </row>
    <row r="133" customHeight="1" spans="1:4">
      <c r="A133" s="935" t="s">
        <v>854</v>
      </c>
      <c r="B133" s="906" t="s">
        <v>855</v>
      </c>
      <c r="C133" s="906" t="s">
        <v>856</v>
      </c>
      <c r="D133" s="935" t="s">
        <v>857</v>
      </c>
    </row>
    <row r="134" customHeight="1" spans="1:4">
      <c r="A134" s="935" t="s">
        <v>858</v>
      </c>
      <c r="B134" s="906" t="s">
        <v>859</v>
      </c>
      <c r="C134" s="906" t="s">
        <v>860</v>
      </c>
      <c r="D134" s="935" t="s">
        <v>861</v>
      </c>
    </row>
    <row r="135" customHeight="1" spans="1:4">
      <c r="A135" s="935" t="s">
        <v>862</v>
      </c>
      <c r="B135" s="903" t="s">
        <v>863</v>
      </c>
      <c r="C135" s="903" t="s">
        <v>864</v>
      </c>
      <c r="D135" s="935" t="s">
        <v>865</v>
      </c>
    </row>
    <row r="136" customHeight="1" spans="1:4">
      <c r="A136" s="935" t="s">
        <v>846</v>
      </c>
      <c r="B136" s="903" t="s">
        <v>866</v>
      </c>
      <c r="C136" s="903" t="s">
        <v>132</v>
      </c>
      <c r="D136" s="1057" t="s">
        <v>867</v>
      </c>
    </row>
    <row r="137" customHeight="1" spans="1:4">
      <c r="A137" s="906" t="s">
        <v>868</v>
      </c>
      <c r="B137" s="906" t="s">
        <v>869</v>
      </c>
      <c r="C137" s="906" t="s">
        <v>857</v>
      </c>
      <c r="D137" s="906"/>
    </row>
    <row r="138" customHeight="1" spans="1:4">
      <c r="A138" s="906" t="s">
        <v>870</v>
      </c>
      <c r="B138" s="906" t="s">
        <v>857</v>
      </c>
      <c r="C138" s="906"/>
      <c r="D138" s="906"/>
    </row>
    <row r="140" customHeight="1" spans="1:1">
      <c r="A140" s="893" t="s">
        <v>871</v>
      </c>
    </row>
    <row r="141" customHeight="1" spans="1:4">
      <c r="A141" s="906" t="s">
        <v>503</v>
      </c>
      <c r="B141" s="915" t="s">
        <v>504</v>
      </c>
      <c r="C141" s="915"/>
      <c r="D141" s="915"/>
    </row>
    <row r="142" customHeight="1" spans="1:4">
      <c r="A142" s="1027" t="s">
        <v>872</v>
      </c>
      <c r="B142" s="915"/>
      <c r="C142" s="1058"/>
      <c r="D142" s="1058"/>
    </row>
    <row r="143" customHeight="1" spans="1:4">
      <c r="A143" s="1027"/>
      <c r="B143" s="915"/>
      <c r="C143" s="1058"/>
      <c r="D143" s="1058"/>
    </row>
    <row r="144" customHeight="1" spans="1:4">
      <c r="A144" s="1027"/>
      <c r="B144" s="915"/>
      <c r="C144" s="915"/>
      <c r="D144" s="915"/>
    </row>
    <row r="145" customHeight="1" spans="1:4">
      <c r="A145" s="1027" t="s">
        <v>873</v>
      </c>
      <c r="B145" s="915"/>
      <c r="C145" s="915"/>
      <c r="D145" s="915"/>
    </row>
    <row r="146" customHeight="1" spans="1:4">
      <c r="A146" s="1027"/>
      <c r="B146" s="915"/>
      <c r="C146" s="1058"/>
      <c r="D146" s="1058"/>
    </row>
    <row r="147" customHeight="1" spans="1:4">
      <c r="A147" s="1027"/>
      <c r="B147" s="915"/>
      <c r="C147" s="1058"/>
      <c r="D147" s="1058"/>
    </row>
    <row r="148" customHeight="1" spans="1:4">
      <c r="A148" s="1027" t="s">
        <v>726</v>
      </c>
      <c r="B148" s="915"/>
      <c r="C148" s="1058"/>
      <c r="D148" s="1058"/>
    </row>
    <row r="149" customHeight="1" spans="1:4">
      <c r="A149" s="1027"/>
      <c r="B149" s="915"/>
      <c r="C149" s="1058"/>
      <c r="D149" s="1058"/>
    </row>
    <row r="150" customHeight="1" spans="1:1">
      <c r="A150" s="1027"/>
    </row>
    <row r="151" customHeight="1" spans="1:1">
      <c r="A151" s="1027" t="s">
        <v>874</v>
      </c>
    </row>
    <row r="152" customHeight="1" spans="1:1">
      <c r="A152" s="1027"/>
    </row>
    <row r="153" customHeight="1" spans="1:1">
      <c r="A153" s="1027"/>
    </row>
    <row r="154" customHeight="1" spans="1:1">
      <c r="A154" s="1027" t="s">
        <v>875</v>
      </c>
    </row>
    <row r="155" customHeight="1" spans="1:1">
      <c r="A155" s="1027"/>
    </row>
    <row r="156" customHeight="1" spans="1:1">
      <c r="A156" s="1027"/>
    </row>
  </sheetData>
  <customSheetViews>
    <customSheetView guid="{27B96A40-A6B2-43F7-A93C-713F4207CB2A}">
      <selection activeCell="J8" sqref="J8"/>
      <pageMargins left="0.7" right="0.7" top="0.75" bottom="0.75" header="0.3" footer="0.3"/>
      <pageSetup paperSize="9" orientation="portrait"/>
      <headerFooter/>
    </customSheetView>
  </customSheetViews>
  <mergeCells count="173">
    <mergeCell ref="A1:D1"/>
    <mergeCell ref="A2:D2"/>
    <mergeCell ref="A3:B3"/>
    <mergeCell ref="A7:B7"/>
    <mergeCell ref="A8:B8"/>
    <mergeCell ref="A9:B9"/>
    <mergeCell ref="A10:B10"/>
    <mergeCell ref="A11:B11"/>
    <mergeCell ref="A12:B12"/>
    <mergeCell ref="A13:B13"/>
    <mergeCell ref="A14:B14"/>
    <mergeCell ref="G16:H16"/>
    <mergeCell ref="A17:B17"/>
    <mergeCell ref="G17:H17"/>
    <mergeCell ref="A18:B18"/>
    <mergeCell ref="A19:B19"/>
    <mergeCell ref="A20:B20"/>
    <mergeCell ref="H20:I20"/>
    <mergeCell ref="A21:B21"/>
    <mergeCell ref="H21:I21"/>
    <mergeCell ref="A22:B22"/>
    <mergeCell ref="A24:B24"/>
    <mergeCell ref="A25:B25"/>
    <mergeCell ref="A26:B26"/>
    <mergeCell ref="B31:D31"/>
    <mergeCell ref="F31:G31"/>
    <mergeCell ref="H31:O31"/>
    <mergeCell ref="H41:I41"/>
    <mergeCell ref="B46:D46"/>
    <mergeCell ref="A47:D47"/>
    <mergeCell ref="A48:D48"/>
    <mergeCell ref="A49:B49"/>
    <mergeCell ref="A50:B50"/>
    <mergeCell ref="A51:B51"/>
    <mergeCell ref="A52:B52"/>
    <mergeCell ref="A53:B53"/>
    <mergeCell ref="A54:B54"/>
    <mergeCell ref="A55:B55"/>
    <mergeCell ref="A56:B56"/>
    <mergeCell ref="C57:D57"/>
    <mergeCell ref="A59:D59"/>
    <mergeCell ref="A60:B60"/>
    <mergeCell ref="A61:B61"/>
    <mergeCell ref="A62:B62"/>
    <mergeCell ref="A63:B63"/>
    <mergeCell ref="A64:B64"/>
    <mergeCell ref="A65:B65"/>
    <mergeCell ref="A66:B66"/>
    <mergeCell ref="A67:B67"/>
    <mergeCell ref="A68:B68"/>
    <mergeCell ref="C69:D69"/>
    <mergeCell ref="A71:D71"/>
    <mergeCell ref="A72:B72"/>
    <mergeCell ref="A73:B73"/>
    <mergeCell ref="A74:B74"/>
    <mergeCell ref="A75:B75"/>
    <mergeCell ref="A76:B76"/>
    <mergeCell ref="A77:B77"/>
    <mergeCell ref="A78:D78"/>
    <mergeCell ref="A84:D84"/>
    <mergeCell ref="G98:J98"/>
    <mergeCell ref="K98:L98"/>
    <mergeCell ref="M98:P98"/>
    <mergeCell ref="G99:H99"/>
    <mergeCell ref="I99:J99"/>
    <mergeCell ref="M99:N99"/>
    <mergeCell ref="O99:P99"/>
    <mergeCell ref="B128:C128"/>
    <mergeCell ref="B129:C129"/>
    <mergeCell ref="B141:D141"/>
    <mergeCell ref="C142:D142"/>
    <mergeCell ref="C143:D143"/>
    <mergeCell ref="C144:D144"/>
    <mergeCell ref="C145:D145"/>
    <mergeCell ref="C146:D146"/>
    <mergeCell ref="C147:D147"/>
    <mergeCell ref="C148:D148"/>
    <mergeCell ref="C149:D149"/>
    <mergeCell ref="A4:A5"/>
    <mergeCell ref="A15:A16"/>
    <mergeCell ref="A32:A42"/>
    <mergeCell ref="A43:A46"/>
    <mergeCell ref="A93:A94"/>
    <mergeCell ref="A95:A96"/>
    <mergeCell ref="A97:A98"/>
    <mergeCell ref="A99:A100"/>
    <mergeCell ref="A142:A144"/>
    <mergeCell ref="A145:A147"/>
    <mergeCell ref="A148:A150"/>
    <mergeCell ref="A151:A153"/>
    <mergeCell ref="A154:A156"/>
    <mergeCell ref="D34:D35"/>
    <mergeCell ref="F11:F14"/>
    <mergeCell ref="F33:F36"/>
    <mergeCell ref="F37:F38"/>
    <mergeCell ref="F41:F42"/>
    <mergeCell ref="F43:F44"/>
    <mergeCell ref="F45:F46"/>
    <mergeCell ref="F50:F51"/>
    <mergeCell ref="F52:F54"/>
    <mergeCell ref="F55:F59"/>
    <mergeCell ref="F60:F65"/>
    <mergeCell ref="F66:F70"/>
    <mergeCell ref="F71:F75"/>
    <mergeCell ref="F76:F80"/>
    <mergeCell ref="F81:F85"/>
    <mergeCell ref="F86:F90"/>
    <mergeCell ref="F91:F94"/>
    <mergeCell ref="G11:G14"/>
    <mergeCell ref="G41:G42"/>
    <mergeCell ref="G55:G57"/>
    <mergeCell ref="H11:H14"/>
    <mergeCell ref="H55:H57"/>
    <mergeCell ref="I11:I14"/>
    <mergeCell ref="I55:I57"/>
    <mergeCell ref="I64:I65"/>
    <mergeCell ref="J11:J14"/>
    <mergeCell ref="J50:J51"/>
    <mergeCell ref="J53:J54"/>
    <mergeCell ref="J55:J57"/>
    <mergeCell ref="J58:J59"/>
    <mergeCell ref="J60:J63"/>
    <mergeCell ref="J64:J65"/>
    <mergeCell ref="J66:J69"/>
    <mergeCell ref="J71:J74"/>
    <mergeCell ref="J76:J79"/>
    <mergeCell ref="J81:J84"/>
    <mergeCell ref="J86:J89"/>
    <mergeCell ref="J91:J94"/>
    <mergeCell ref="K11:K14"/>
    <mergeCell ref="K24:K26"/>
    <mergeCell ref="K50:K51"/>
    <mergeCell ref="K53:K54"/>
    <mergeCell ref="K55:K57"/>
    <mergeCell ref="K58:K59"/>
    <mergeCell ref="K60:K63"/>
    <mergeCell ref="K64:K65"/>
    <mergeCell ref="K66:K69"/>
    <mergeCell ref="K71:K74"/>
    <mergeCell ref="K76:K79"/>
    <mergeCell ref="K81:K84"/>
    <mergeCell ref="K86:K89"/>
    <mergeCell ref="K91:K94"/>
    <mergeCell ref="L50:L51"/>
    <mergeCell ref="L53:L54"/>
    <mergeCell ref="L55:L57"/>
    <mergeCell ref="L58:L59"/>
    <mergeCell ref="L60:L63"/>
    <mergeCell ref="L64:L65"/>
    <mergeCell ref="L66:L69"/>
    <mergeCell ref="L71:L74"/>
    <mergeCell ref="L76:L79"/>
    <mergeCell ref="L81:L84"/>
    <mergeCell ref="L86:L89"/>
    <mergeCell ref="L91:L94"/>
    <mergeCell ref="M50:M51"/>
    <mergeCell ref="M52:M54"/>
    <mergeCell ref="M58:M59"/>
    <mergeCell ref="M64:M65"/>
    <mergeCell ref="N50:N51"/>
    <mergeCell ref="N53:N54"/>
    <mergeCell ref="N58:N59"/>
    <mergeCell ref="N64:N65"/>
    <mergeCell ref="O50:O51"/>
    <mergeCell ref="O53:O54"/>
    <mergeCell ref="O58:O59"/>
    <mergeCell ref="O64:O65"/>
    <mergeCell ref="A101:D102"/>
    <mergeCell ref="A79:D82"/>
    <mergeCell ref="P35:Q36"/>
    <mergeCell ref="J41:L46"/>
    <mergeCell ref="A116:D122"/>
    <mergeCell ref="A104:D115"/>
  </mergeCells>
  <conditionalFormatting sqref="C35">
    <cfRule type="cellIs" dxfId="0" priority="1" operator="lessThan">
      <formula>0.05</formula>
    </cfRule>
    <cfRule type="cellIs" dxfId="1" priority="2" operator="greaterThan">
      <formula>0.05</formula>
    </cfRule>
  </conditionalFormatting>
  <conditionalFormatting sqref="C56">
    <cfRule type="cellIs" dxfId="1" priority="3" operator="greaterThan">
      <formula>$C$55</formula>
    </cfRule>
    <cfRule type="cellIs" dxfId="2" priority="4" operator="lessThanOrEqual">
      <formula>$C$55</formula>
    </cfRule>
  </conditionalFormatting>
  <dataValidations count="3">
    <dataValidation type="list" allowBlank="1" showInputMessage="1" showErrorMessage="1" sqref="C4">
      <formula1>$G$7:$I$7</formula1>
    </dataValidation>
    <dataValidation type="list" allowBlank="1" showInputMessage="1" showErrorMessage="1" sqref="C8">
      <formula1>$W$10:$W$11</formula1>
    </dataValidation>
    <dataValidation type="list" allowBlank="1" showInputMessage="1" showErrorMessage="1" sqref="C7">
      <formula1>$W$7:$W$8</formula1>
    </dataValidation>
  </dataValidations>
  <pageMargins left="0.7" right="0.7" top="0.75" bottom="0.75" header="0.3" footer="0.3"/>
  <pageSetup paperSize="9" orientation="portrait"/>
  <headerFooter/>
  <drawing r:id="rId2"/>
  <legacyDrawing r:id="rId3"/>
  <oleObjects>
    <mc:AlternateContent xmlns:mc="http://schemas.openxmlformats.org/markup-compatibility/2006">
      <mc:Choice Requires="x14">
        <oleObject shapeId="5145" progId="Equations" r:id="rId4">
          <objectPr defaultSize="0" r:id="rId5">
            <anchor moveWithCells="1">
              <from>
                <xdr:col>1</xdr:col>
                <xdr:colOff>0</xdr:colOff>
                <xdr:row>141</xdr:row>
                <xdr:rowOff>7620</xdr:rowOff>
              </from>
              <to>
                <xdr:col>2</xdr:col>
                <xdr:colOff>136525</xdr:colOff>
                <xdr:row>144</xdr:row>
                <xdr:rowOff>7620</xdr:rowOff>
              </to>
            </anchor>
          </objectPr>
        </oleObject>
      </mc:Choice>
      <mc:Fallback>
        <oleObject shapeId="5145" progId="Equations" r:id="rId4"/>
      </mc:Fallback>
    </mc:AlternateContent>
    <mc:AlternateContent xmlns:mc="http://schemas.openxmlformats.org/markup-compatibility/2006">
      <mc:Choice Requires="x14">
        <oleObject shapeId="5147" progId="Equations" r:id="rId6">
          <objectPr defaultSize="0" r:id="rId7">
            <anchor moveWithCells="1">
              <from>
                <xdr:col>1</xdr:col>
                <xdr:colOff>0</xdr:colOff>
                <xdr:row>144</xdr:row>
                <xdr:rowOff>7620</xdr:rowOff>
              </from>
              <to>
                <xdr:col>2</xdr:col>
                <xdr:colOff>922020</xdr:colOff>
                <xdr:row>147</xdr:row>
                <xdr:rowOff>0</xdr:rowOff>
              </to>
            </anchor>
          </objectPr>
        </oleObject>
      </mc:Choice>
      <mc:Fallback>
        <oleObject shapeId="5147" progId="Equations" r:id="rId6"/>
      </mc:Fallback>
    </mc:AlternateContent>
    <mc:AlternateContent xmlns:mc="http://schemas.openxmlformats.org/markup-compatibility/2006">
      <mc:Choice Requires="x14">
        <oleObject shapeId="5148" progId="Equations" r:id="rId8">
          <objectPr defaultSize="0" r:id="rId9">
            <anchor moveWithCells="1">
              <from>
                <xdr:col>1</xdr:col>
                <xdr:colOff>0</xdr:colOff>
                <xdr:row>147</xdr:row>
                <xdr:rowOff>7620</xdr:rowOff>
              </from>
              <to>
                <xdr:col>2</xdr:col>
                <xdr:colOff>518160</xdr:colOff>
                <xdr:row>150</xdr:row>
                <xdr:rowOff>7620</xdr:rowOff>
              </to>
            </anchor>
          </objectPr>
        </oleObject>
      </mc:Choice>
      <mc:Fallback>
        <oleObject shapeId="5148" progId="Equations" r:id="rId8"/>
      </mc:Fallback>
    </mc:AlternateContent>
    <mc:AlternateContent xmlns:mc="http://schemas.openxmlformats.org/markup-compatibility/2006">
      <mc:Choice Requires="x14">
        <oleObject shapeId="5149" progId="Equations" r:id="rId10">
          <objectPr defaultSize="0" r:id="rId11">
            <anchor moveWithCells="1">
              <from>
                <xdr:col>1</xdr:col>
                <xdr:colOff>0</xdr:colOff>
                <xdr:row>150</xdr:row>
                <xdr:rowOff>7620</xdr:rowOff>
              </from>
              <to>
                <xdr:col>3</xdr:col>
                <xdr:colOff>144145</xdr:colOff>
                <xdr:row>153</xdr:row>
                <xdr:rowOff>0</xdr:rowOff>
              </to>
            </anchor>
          </objectPr>
        </oleObject>
      </mc:Choice>
      <mc:Fallback>
        <oleObject shapeId="5149" progId="Equations" r:id="rId10"/>
      </mc:Fallback>
    </mc:AlternateContent>
    <mc:AlternateContent xmlns:mc="http://schemas.openxmlformats.org/markup-compatibility/2006">
      <mc:Choice Requires="x14">
        <oleObject shapeId="5150" progId="Equations" r:id="rId12">
          <objectPr defaultSize="0" r:id="rId13">
            <anchor moveWithCells="1">
              <from>
                <xdr:col>1</xdr:col>
                <xdr:colOff>0</xdr:colOff>
                <xdr:row>153</xdr:row>
                <xdr:rowOff>7620</xdr:rowOff>
              </from>
              <to>
                <xdr:col>2</xdr:col>
                <xdr:colOff>152400</xdr:colOff>
                <xdr:row>156</xdr:row>
                <xdr:rowOff>0</xdr:rowOff>
              </to>
            </anchor>
          </objectPr>
        </oleObject>
      </mc:Choice>
      <mc:Fallback>
        <oleObject shapeId="5150" progId="Equations" r:id="rId12"/>
      </mc:Fallback>
    </mc:AlternateContent>
  </oleObjects>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N125"/>
  <sheetViews>
    <sheetView workbookViewId="0">
      <selection activeCell="A17" sqref="A17:D24"/>
    </sheetView>
  </sheetViews>
  <sheetFormatPr defaultColWidth="15.625" defaultRowHeight="17.1" customHeight="1"/>
  <cols>
    <col min="1" max="1" width="4.75" style="47" customWidth="1"/>
    <col min="2" max="2" width="21.875" style="47" customWidth="1"/>
    <col min="3" max="3" width="15.625" style="551"/>
    <col min="4" max="4" width="12.125" style="47" customWidth="1"/>
    <col min="5" max="5" width="4.75" style="47" customWidth="1"/>
    <col min="6" max="17" width="9.625" style="47" customWidth="1"/>
    <col min="18" max="24" width="8.625" style="47" customWidth="1"/>
    <col min="25" max="16384" width="15.625" style="47"/>
  </cols>
  <sheetData>
    <row r="1" ht="21.95" customHeight="1" spans="1:4">
      <c r="A1" s="124" t="s">
        <v>876</v>
      </c>
      <c r="B1" s="124"/>
      <c r="C1" s="124"/>
      <c r="D1" s="124"/>
    </row>
    <row r="2" customHeight="1" spans="1:33">
      <c r="A2" s="849" t="s">
        <v>877</v>
      </c>
      <c r="B2" s="849"/>
      <c r="C2" s="849"/>
      <c r="D2" s="849"/>
      <c r="F2" s="643" t="s">
        <v>878</v>
      </c>
      <c r="G2" s="643"/>
      <c r="N2" s="47" t="s">
        <v>879</v>
      </c>
      <c r="O2" s="470"/>
      <c r="P2" s="470"/>
      <c r="Q2" s="470"/>
      <c r="AG2" s="47" t="s">
        <v>497</v>
      </c>
    </row>
    <row r="3" customHeight="1" spans="1:33">
      <c r="A3" s="3" t="s">
        <v>269</v>
      </c>
      <c r="B3" s="9" t="s">
        <v>270</v>
      </c>
      <c r="C3" s="32" t="s">
        <v>271</v>
      </c>
      <c r="D3" s="9" t="s">
        <v>272</v>
      </c>
      <c r="F3" s="785" t="s">
        <v>880</v>
      </c>
      <c r="G3" s="785" t="s">
        <v>881</v>
      </c>
      <c r="H3" s="785" t="s">
        <v>882</v>
      </c>
      <c r="I3" s="785" t="s">
        <v>883</v>
      </c>
      <c r="J3" s="785" t="s">
        <v>884</v>
      </c>
      <c r="K3" s="785" t="s">
        <v>885</v>
      </c>
      <c r="L3" s="785" t="s">
        <v>886</v>
      </c>
      <c r="M3" s="785" t="s">
        <v>887</v>
      </c>
      <c r="N3" s="874" t="s">
        <v>888</v>
      </c>
      <c r="O3" s="271" t="s">
        <v>889</v>
      </c>
      <c r="P3" s="875" t="s">
        <v>890</v>
      </c>
      <c r="Q3" s="785" t="s">
        <v>891</v>
      </c>
      <c r="W3" s="688"/>
      <c r="X3" s="688"/>
      <c r="Y3" s="688"/>
      <c r="Z3" s="688"/>
      <c r="AA3" s="688"/>
      <c r="AB3" s="688"/>
      <c r="AC3" s="688"/>
      <c r="AD3" s="688"/>
      <c r="AG3" s="47" t="s">
        <v>892</v>
      </c>
    </row>
    <row r="4" customHeight="1" spans="1:33">
      <c r="A4" s="304">
        <v>1</v>
      </c>
      <c r="B4" s="661" t="s">
        <v>893</v>
      </c>
      <c r="C4" s="850">
        <v>40</v>
      </c>
      <c r="D4" s="661" t="s">
        <v>894</v>
      </c>
      <c r="F4" s="851">
        <v>12</v>
      </c>
      <c r="G4" s="851">
        <v>8.8</v>
      </c>
      <c r="H4" s="852" t="s">
        <v>895</v>
      </c>
      <c r="I4" s="785">
        <f>IF(F4=1,0.25,IF(F4=2,0.4,IF(F4=2.5,0.45,IF(F4=3,0.5,IF(F4=4,0.7,IF(F4=5,0.8,IF(F4=6,1,IF(F4=8,1.25,IF(F4=10,1.5,IF(F4=12,1.75,IF(F4=14,2,IF(F4=16,2,IF(F4=18,2.5,IF(F4=20,2.5,IF(F4=24,3,IF(F4=27,3,IF(F4=30,3.5,IF(F4=33,3.5,IF(F4=36,4,"")))))))))))))))))))</f>
        <v>1.75</v>
      </c>
      <c r="J4" s="876">
        <f>F4-1.08253*I4</f>
        <v>10.1055725</v>
      </c>
      <c r="K4" s="876">
        <f>PI()*(J4/2)^2</f>
        <v>80.2068989885152</v>
      </c>
      <c r="L4" s="877">
        <f>INT(G4)*100*K4/1000</f>
        <v>64.1655191908122</v>
      </c>
      <c r="M4" s="878">
        <f>L4*RIGHT(G4,1)*0.1</f>
        <v>51.3324153526497</v>
      </c>
      <c r="N4" s="879">
        <f>M4*0.6</f>
        <v>30.7994492115898</v>
      </c>
      <c r="O4" s="271"/>
      <c r="P4" s="880">
        <f>O5*N4*F4</f>
        <v>73.9186781078156</v>
      </c>
      <c r="Q4" s="878">
        <f>0.8*P4</f>
        <v>59.1349424862525</v>
      </c>
      <c r="W4" s="690"/>
      <c r="X4" s="690"/>
      <c r="Y4" s="690"/>
      <c r="Z4" s="690"/>
      <c r="AA4" s="690"/>
      <c r="AB4" s="690"/>
      <c r="AC4" s="690"/>
      <c r="AD4" s="690"/>
      <c r="AG4" s="47" t="s">
        <v>896</v>
      </c>
    </row>
    <row r="5" customHeight="1" spans="1:33">
      <c r="A5" s="280">
        <v>2</v>
      </c>
      <c r="B5" s="92" t="s">
        <v>897</v>
      </c>
      <c r="C5" s="447" t="s">
        <v>898</v>
      </c>
      <c r="D5" s="459"/>
      <c r="F5" s="853" t="str">
        <f>"抗拉强度σb="&amp;INT(G4)*100&amp;" MPa"</f>
        <v>抗拉强度σb=800 MPa</v>
      </c>
      <c r="G5" s="853"/>
      <c r="H5" s="854" t="str">
        <f>IF(F4&gt;6,"细牙","")</f>
        <v>细牙</v>
      </c>
      <c r="I5" s="785">
        <f>IF(F4=8,1,IF(F4=10,1.25,IF(F4=12,1.5,IF(F4=14,1.5,IF(F4=16,1.5,IF(F4=18,2,IF(F4=20,2,IF(F4=24,2,IF(F4=27,2,IF(F4=30,2,IF(F4=33,2,IF(F4=36,3,""))))))))))))</f>
        <v>1.5</v>
      </c>
      <c r="J5" s="876">
        <f>IF(AND(I5&lt;&gt;0,I5&lt;&gt;""),F4-1.08253*I5,"")</f>
        <v>10.376205</v>
      </c>
      <c r="K5" s="876">
        <f>IF(AND(I5&lt;&gt;0,I5&lt;&gt;""),PI()*(J5/2)^2,"")</f>
        <v>84.5603882216993</v>
      </c>
      <c r="L5" s="877">
        <f>IF(AND(I5&lt;&gt;0,I5&lt;&gt;""),INT(G4)*100*K5/1000,"")</f>
        <v>67.6483105773594</v>
      </c>
      <c r="M5" s="878">
        <f>IF(AND(I5&lt;&gt;0,I5&lt;&gt;""),L5*RIGHT(G4,1)*0.1,"")</f>
        <v>54.1186484618875</v>
      </c>
      <c r="N5" s="876">
        <f>IF(AND(I5&lt;&gt;0,I5&lt;&gt;""),M5*0.6,"")</f>
        <v>32.4711890771325</v>
      </c>
      <c r="O5" s="881">
        <v>0.2</v>
      </c>
      <c r="P5" s="882">
        <f>IF(AND(I5&lt;&gt;0,I5&lt;&gt;""),O5*N5*F4,"")</f>
        <v>77.9308537851181</v>
      </c>
      <c r="Q5" s="892">
        <f>IF(AND(I5&lt;&gt;0,I5&lt;&gt;""),0.8*P5,"")</f>
        <v>62.3446830280945</v>
      </c>
      <c r="W5" s="470"/>
      <c r="X5" s="470"/>
      <c r="Y5" s="470"/>
      <c r="Z5" s="470"/>
      <c r="AA5" s="470"/>
      <c r="AB5" s="470"/>
      <c r="AC5" s="470"/>
      <c r="AD5" s="470"/>
      <c r="AG5" s="47" t="s">
        <v>899</v>
      </c>
    </row>
    <row r="6" customHeight="1" spans="1:33">
      <c r="A6" s="304">
        <v>3</v>
      </c>
      <c r="B6" s="9" t="s">
        <v>900</v>
      </c>
      <c r="C6" s="91">
        <v>32</v>
      </c>
      <c r="D6" s="9" t="s">
        <v>901</v>
      </c>
      <c r="F6" s="853" t="str">
        <f>"屈服强度σs="&amp;INT(G4)*100*RIGHT(G4,1)*0.1&amp;" MPa"</f>
        <v>屈服强度σs=640 MPa</v>
      </c>
      <c r="G6" s="853"/>
      <c r="H6" s="854"/>
      <c r="I6" s="785">
        <f>IF(F4=10,1,IF(F4=12,1.25,IF(F4=18,1.5,IF(F4=20,1.5,""))))</f>
        <v>1.25</v>
      </c>
      <c r="J6" s="876">
        <f>IF(AND(I6&lt;&gt;0,I6&lt;&gt;""),F4-1.08253*I6,"")</f>
        <v>10.6468375</v>
      </c>
      <c r="K6" s="876">
        <f>IF(AND(I6&lt;&gt;0,I6&lt;&gt;""),PI()*(J6/2)^2,"")</f>
        <v>89.028925640999</v>
      </c>
      <c r="L6" s="877">
        <f>IF(AND(I6&lt;&gt;0,I6&lt;&gt;""),INT(G4)*100*K6/1000,"")</f>
        <v>71.2231405127992</v>
      </c>
      <c r="M6" s="878">
        <f>IF(AND(I6&lt;&gt;0,I6&lt;&gt;""),L6*RIGHT(G4,1)*0.1,"")</f>
        <v>56.9785124102394</v>
      </c>
      <c r="N6" s="876">
        <f>IF(AND(I6&lt;&gt;0,I6&lt;&gt;""),M6*0.6,"")</f>
        <v>34.1871074461436</v>
      </c>
      <c r="O6" s="883"/>
      <c r="P6" s="880">
        <f>IF(AND(I6&lt;&gt;0,I6&lt;&gt;""),O5*N6*F4,"")</f>
        <v>82.0490578707447</v>
      </c>
      <c r="Q6" s="878">
        <f>IF(AND(I6&lt;&gt;0,I6&lt;&gt;""),0.8*P6,"")</f>
        <v>65.6392462965958</v>
      </c>
      <c r="W6" s="114"/>
      <c r="X6" s="114"/>
      <c r="Y6" s="114"/>
      <c r="Z6" s="114"/>
      <c r="AA6" s="114"/>
      <c r="AB6" s="114"/>
      <c r="AC6" s="114"/>
      <c r="AD6" s="114"/>
      <c r="AG6" s="47" t="s">
        <v>902</v>
      </c>
    </row>
    <row r="7" customHeight="1" spans="1:33">
      <c r="A7" s="280">
        <v>4</v>
      </c>
      <c r="B7" s="9" t="s">
        <v>903</v>
      </c>
      <c r="C7" s="91">
        <v>4</v>
      </c>
      <c r="D7" s="437" t="s">
        <v>297</v>
      </c>
      <c r="M7" s="47" t="s">
        <v>904</v>
      </c>
      <c r="W7" s="114"/>
      <c r="X7" s="114"/>
      <c r="Y7" s="114"/>
      <c r="Z7" s="114"/>
      <c r="AA7" s="114"/>
      <c r="AB7" s="114"/>
      <c r="AC7" s="114"/>
      <c r="AD7" s="114"/>
      <c r="AG7" s="47" t="s">
        <v>905</v>
      </c>
    </row>
    <row r="8" customHeight="1" spans="1:40">
      <c r="A8" s="855">
        <v>5</v>
      </c>
      <c r="B8" s="9" t="s">
        <v>906</v>
      </c>
      <c r="C8" s="856">
        <f>ROUNDUP(C4*C7/C6,0)</f>
        <v>5</v>
      </c>
      <c r="D8" s="113"/>
      <c r="F8" s="47" t="s">
        <v>907</v>
      </c>
      <c r="M8" s="884" t="s">
        <v>908</v>
      </c>
      <c r="N8" s="884"/>
      <c r="O8" s="884"/>
      <c r="P8" s="884"/>
      <c r="AD8" s="114"/>
      <c r="AE8" s="114"/>
      <c r="AF8" s="114"/>
      <c r="AG8" s="114"/>
      <c r="AH8" s="114"/>
      <c r="AI8" s="114"/>
      <c r="AJ8" s="114"/>
      <c r="AK8" s="114"/>
      <c r="AN8" s="47" t="s">
        <v>909</v>
      </c>
    </row>
    <row r="9" customHeight="1" spans="1:38">
      <c r="A9" s="849" t="s">
        <v>910</v>
      </c>
      <c r="B9" s="849"/>
      <c r="C9" s="849"/>
      <c r="D9" s="849"/>
      <c r="F9" s="293" t="s">
        <v>911</v>
      </c>
      <c r="G9" s="293"/>
      <c r="H9" s="293"/>
      <c r="I9" s="6" t="s">
        <v>912</v>
      </c>
      <c r="J9" s="6" t="s">
        <v>913</v>
      </c>
      <c r="K9" s="6" t="s">
        <v>914</v>
      </c>
      <c r="M9" s="885" t="s">
        <v>915</v>
      </c>
      <c r="N9" s="885"/>
      <c r="O9" s="886" t="s">
        <v>916</v>
      </c>
      <c r="P9" s="886" t="s">
        <v>917</v>
      </c>
      <c r="AD9" s="114"/>
      <c r="AE9" s="114"/>
      <c r="AF9" s="114"/>
      <c r="AG9" s="114"/>
      <c r="AH9" s="114"/>
      <c r="AI9" s="114"/>
      <c r="AL9" s="47" t="s">
        <v>918</v>
      </c>
    </row>
    <row r="10" customHeight="1" spans="1:38">
      <c r="A10" s="3" t="s">
        <v>269</v>
      </c>
      <c r="B10" s="9" t="s">
        <v>270</v>
      </c>
      <c r="C10" s="32" t="s">
        <v>271</v>
      </c>
      <c r="D10" s="9" t="s">
        <v>272</v>
      </c>
      <c r="F10" s="857" t="s">
        <v>919</v>
      </c>
      <c r="G10" s="858" t="s">
        <v>920</v>
      </c>
      <c r="H10" s="92" t="s">
        <v>104</v>
      </c>
      <c r="I10" s="887" t="s">
        <v>921</v>
      </c>
      <c r="J10" s="74" t="s">
        <v>922</v>
      </c>
      <c r="K10" s="74" t="s">
        <v>923</v>
      </c>
      <c r="M10" s="885"/>
      <c r="N10" s="885"/>
      <c r="O10" s="886"/>
      <c r="P10" s="886"/>
      <c r="AD10" s="114"/>
      <c r="AE10" s="114"/>
      <c r="AF10" s="114"/>
      <c r="AG10" s="114"/>
      <c r="AH10" s="114"/>
      <c r="AI10" s="114"/>
      <c r="AL10" s="47" t="s">
        <v>924</v>
      </c>
    </row>
    <row r="11" customHeight="1" spans="1:38">
      <c r="A11" s="304">
        <v>1</v>
      </c>
      <c r="B11" s="696" t="s">
        <v>925</v>
      </c>
      <c r="C11" s="91">
        <v>40</v>
      </c>
      <c r="D11" s="92"/>
      <c r="F11" s="859"/>
      <c r="G11" s="858"/>
      <c r="H11" s="92" t="s">
        <v>926</v>
      </c>
      <c r="I11" s="74" t="s">
        <v>927</v>
      </c>
      <c r="J11" s="74" t="s">
        <v>928</v>
      </c>
      <c r="K11" s="74" t="s">
        <v>929</v>
      </c>
      <c r="M11" s="885" t="s">
        <v>930</v>
      </c>
      <c r="N11" s="885"/>
      <c r="O11" s="888">
        <v>0.1</v>
      </c>
      <c r="P11" s="888">
        <v>0.12</v>
      </c>
      <c r="AD11" s="114"/>
      <c r="AE11" s="114"/>
      <c r="AF11" s="114"/>
      <c r="AG11" s="114"/>
      <c r="AH11" s="114"/>
      <c r="AI11" s="114"/>
      <c r="AL11" s="47" t="s">
        <v>931</v>
      </c>
    </row>
    <row r="12" customHeight="1" spans="1:35">
      <c r="A12" s="280">
        <v>2</v>
      </c>
      <c r="B12" s="92" t="s">
        <v>897</v>
      </c>
      <c r="C12" s="447" t="s">
        <v>898</v>
      </c>
      <c r="D12" s="459"/>
      <c r="F12" s="859"/>
      <c r="G12" s="858" t="s">
        <v>932</v>
      </c>
      <c r="H12" s="92" t="s">
        <v>104</v>
      </c>
      <c r="I12" s="74" t="s">
        <v>933</v>
      </c>
      <c r="J12" s="74">
        <v>8.5</v>
      </c>
      <c r="K12" s="74" t="s">
        <v>934</v>
      </c>
      <c r="M12" s="885" t="s">
        <v>935</v>
      </c>
      <c r="N12" s="885"/>
      <c r="O12" s="888" t="s">
        <v>936</v>
      </c>
      <c r="P12" s="888" t="s">
        <v>937</v>
      </c>
      <c r="AD12" s="114"/>
      <c r="AE12" s="114"/>
      <c r="AF12" s="114"/>
      <c r="AG12" s="114"/>
      <c r="AH12" s="114"/>
      <c r="AI12" s="114"/>
    </row>
    <row r="13" customHeight="1" spans="1:16">
      <c r="A13" s="304">
        <v>3</v>
      </c>
      <c r="B13" s="9" t="s">
        <v>900</v>
      </c>
      <c r="C13" s="91">
        <v>32</v>
      </c>
      <c r="D13" s="9" t="s">
        <v>901</v>
      </c>
      <c r="F13" s="860"/>
      <c r="G13" s="858"/>
      <c r="H13" s="92" t="s">
        <v>926</v>
      </c>
      <c r="I13" s="74" t="s">
        <v>938</v>
      </c>
      <c r="J13" s="74">
        <v>6.8</v>
      </c>
      <c r="K13" s="74" t="s">
        <v>939</v>
      </c>
      <c r="M13" s="885" t="s">
        <v>940</v>
      </c>
      <c r="N13" s="885"/>
      <c r="O13" s="888">
        <v>0.2</v>
      </c>
      <c r="P13" s="888">
        <v>0.24</v>
      </c>
    </row>
    <row r="14" customHeight="1" spans="1:16">
      <c r="A14" s="280">
        <v>4</v>
      </c>
      <c r="B14" s="9" t="s">
        <v>941</v>
      </c>
      <c r="C14" s="91">
        <v>4</v>
      </c>
      <c r="D14" s="437" t="s">
        <v>521</v>
      </c>
      <c r="F14" s="861" t="s">
        <v>942</v>
      </c>
      <c r="G14" s="861"/>
      <c r="H14" s="11" t="s">
        <v>943</v>
      </c>
      <c r="I14" s="11"/>
      <c r="J14" s="11"/>
      <c r="K14" s="11"/>
      <c r="M14" s="885" t="s">
        <v>944</v>
      </c>
      <c r="N14" s="885"/>
      <c r="O14" s="888">
        <v>0.18</v>
      </c>
      <c r="P14" s="888">
        <v>0.22</v>
      </c>
    </row>
    <row r="15" customHeight="1" spans="1:16">
      <c r="A15" s="855">
        <v>5</v>
      </c>
      <c r="B15" s="9" t="s">
        <v>906</v>
      </c>
      <c r="C15" s="856">
        <f>ROUNDUP(C11*C14/C13,0)</f>
        <v>5</v>
      </c>
      <c r="D15" s="113"/>
      <c r="F15" s="861"/>
      <c r="G15" s="861"/>
      <c r="H15" s="11"/>
      <c r="I15" s="11"/>
      <c r="J15" s="11"/>
      <c r="K15" s="11"/>
      <c r="M15" s="885" t="s">
        <v>945</v>
      </c>
      <c r="N15" s="885"/>
      <c r="O15" s="888" t="s">
        <v>946</v>
      </c>
      <c r="P15" s="888"/>
    </row>
    <row r="16" customHeight="1" spans="1:13">
      <c r="A16" s="82"/>
      <c r="B16" s="82"/>
      <c r="C16" s="83"/>
      <c r="D16" s="82"/>
      <c r="F16" s="862" t="s">
        <v>947</v>
      </c>
      <c r="G16" s="863"/>
      <c r="H16" s="864" t="s">
        <v>948</v>
      </c>
      <c r="I16" s="889"/>
      <c r="J16" s="889"/>
      <c r="K16" s="890"/>
      <c r="M16" s="891" t="s">
        <v>949</v>
      </c>
    </row>
    <row r="17" ht="13.8" spans="1:4">
      <c r="A17" s="865" t="s">
        <v>950</v>
      </c>
      <c r="B17" s="866"/>
      <c r="C17" s="866"/>
      <c r="D17" s="867"/>
    </row>
    <row r="18" ht="14.25" customHeight="1" spans="1:9">
      <c r="A18" s="868"/>
      <c r="B18" s="235"/>
      <c r="C18" s="235"/>
      <c r="D18" s="869"/>
      <c r="F18" s="47" t="s">
        <v>951</v>
      </c>
      <c r="I18" s="106" t="s">
        <v>952</v>
      </c>
    </row>
    <row r="19" ht="18.75" customHeight="1" spans="1:8">
      <c r="A19" s="868"/>
      <c r="B19" s="235"/>
      <c r="C19" s="235"/>
      <c r="D19" s="869"/>
      <c r="F19" s="92" t="s">
        <v>953</v>
      </c>
      <c r="G19" s="344" t="s">
        <v>954</v>
      </c>
      <c r="H19" s="344"/>
    </row>
    <row r="20" ht="16.5" customHeight="1" spans="1:8">
      <c r="A20" s="868"/>
      <c r="B20" s="235"/>
      <c r="C20" s="235"/>
      <c r="D20" s="869"/>
      <c r="F20" s="279" t="s">
        <v>920</v>
      </c>
      <c r="G20" s="870">
        <v>2.5</v>
      </c>
      <c r="H20" s="870"/>
    </row>
    <row r="21" ht="16.5" customHeight="1" spans="1:8">
      <c r="A21" s="868"/>
      <c r="B21" s="235"/>
      <c r="C21" s="235"/>
      <c r="D21" s="869"/>
      <c r="F21" s="25" t="s">
        <v>955</v>
      </c>
      <c r="G21" s="870" t="s">
        <v>956</v>
      </c>
      <c r="H21" s="870"/>
    </row>
    <row r="22" ht="13.8" spans="1:4">
      <c r="A22" s="868"/>
      <c r="B22" s="235"/>
      <c r="C22" s="235"/>
      <c r="D22" s="869"/>
    </row>
    <row r="23" ht="13.8" spans="1:4">
      <c r="A23" s="868"/>
      <c r="B23" s="235"/>
      <c r="C23" s="235"/>
      <c r="D23" s="869"/>
    </row>
    <row r="24" ht="14.55" spans="1:4">
      <c r="A24" s="871"/>
      <c r="B24" s="872"/>
      <c r="C24" s="872"/>
      <c r="D24" s="873"/>
    </row>
    <row r="25" ht="13.8" spans="1:4">
      <c r="A25" s="707" t="s">
        <v>957</v>
      </c>
      <c r="B25" s="708"/>
      <c r="C25" s="708"/>
      <c r="D25" s="709"/>
    </row>
    <row r="26" ht="13.8" spans="1:4">
      <c r="A26" s="564"/>
      <c r="B26" s="565"/>
      <c r="C26" s="565"/>
      <c r="D26" s="566"/>
    </row>
    <row r="27" ht="14.25" customHeight="1" spans="1:4">
      <c r="A27" s="564"/>
      <c r="B27" s="565"/>
      <c r="C27" s="565"/>
      <c r="D27" s="566"/>
    </row>
    <row r="28" ht="13.8" spans="1:4">
      <c r="A28" s="564"/>
      <c r="B28" s="565"/>
      <c r="C28" s="565"/>
      <c r="D28" s="566"/>
    </row>
    <row r="29" ht="14.25" customHeight="1" spans="1:4">
      <c r="A29" s="564"/>
      <c r="B29" s="565"/>
      <c r="C29" s="565"/>
      <c r="D29" s="566"/>
    </row>
    <row r="30" ht="13.8" spans="1:4">
      <c r="A30" s="564"/>
      <c r="B30" s="565"/>
      <c r="C30" s="565"/>
      <c r="D30" s="566"/>
    </row>
    <row r="31" ht="14.25" customHeight="1" spans="1:4">
      <c r="A31" s="567"/>
      <c r="B31" s="568"/>
      <c r="C31" s="568"/>
      <c r="D31" s="569"/>
    </row>
    <row r="32" ht="13.8"/>
    <row r="33" ht="13.8"/>
    <row r="34" ht="25.5" customHeight="1"/>
    <row r="35" ht="14.25" customHeight="1"/>
    <row r="36" ht="14.25" customHeight="1"/>
    <row r="37" ht="14.25" customHeight="1"/>
    <row r="38" ht="14.25" customHeight="1"/>
    <row r="39" ht="14.25" customHeight="1"/>
    <row r="40" ht="15" customHeight="1"/>
    <row r="41" ht="14.25" customHeight="1"/>
    <row r="42" ht="13.8"/>
    <row r="43" ht="13.8"/>
    <row r="44" ht="13.8"/>
    <row r="45" ht="13.8"/>
    <row r="46" ht="13.8"/>
    <row r="47" ht="13.8"/>
    <row r="48" ht="13.8"/>
    <row r="49" ht="13.8"/>
    <row r="50" ht="13.8"/>
    <row r="51" ht="13.8"/>
    <row r="52" ht="13.8"/>
    <row r="53" ht="13.8"/>
    <row r="54" ht="13.8"/>
    <row r="55" ht="13.8"/>
    <row r="56" ht="13.8"/>
    <row r="57" ht="13.8"/>
    <row r="58" ht="13.8"/>
    <row r="59" ht="13.8"/>
    <row r="60" ht="13.8"/>
    <row r="61" ht="13.8"/>
    <row r="62" ht="13.8"/>
    <row r="63" ht="13.8"/>
    <row r="64" ht="13.8"/>
    <row r="65" ht="13.8"/>
    <row r="66" ht="13.8"/>
    <row r="67" ht="13.8"/>
    <row r="68" ht="15" customHeight="1"/>
    <row r="69" ht="13.8"/>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5" customHeight="1"/>
    <row r="86" ht="14.25" customHeight="1"/>
    <row r="87" ht="14.25" customHeight="1"/>
    <row r="88" ht="15" customHeight="1"/>
    <row r="89" ht="13.8"/>
    <row r="90" ht="13.8"/>
    <row r="91" ht="13.8"/>
    <row r="92" ht="16.5" customHeight="1"/>
    <row r="93" ht="13.8"/>
    <row r="94" ht="13.8"/>
    <row r="95" ht="13.8"/>
    <row r="96" ht="13.8"/>
    <row r="97" ht="13.8"/>
    <row r="98" ht="13.8"/>
    <row r="99" ht="13.8"/>
    <row r="100" ht="13.8"/>
    <row r="101" ht="13.8"/>
    <row r="102" ht="13.8"/>
    <row r="103" ht="13.8"/>
    <row r="104" ht="13.8"/>
    <row r="105" ht="13.8"/>
    <row r="106" ht="13.8"/>
    <row r="107" ht="13.8"/>
    <row r="108" ht="13.8"/>
    <row r="109" ht="13.8"/>
    <row r="110" ht="13.8"/>
    <row r="111" ht="13.8"/>
    <row r="112" ht="13.8"/>
    <row r="113" ht="13.8"/>
    <row r="114" ht="13.8"/>
    <row r="115" ht="13.8"/>
    <row r="116" ht="13.8"/>
    <row r="117" ht="13.8"/>
    <row r="118" ht="13.8"/>
    <row r="119" ht="13.8"/>
    <row r="120" ht="13.8"/>
    <row r="121" ht="13.8"/>
    <row r="123" ht="13.8"/>
    <row r="124" ht="13.8"/>
    <row r="125" ht="13.8"/>
  </sheetData>
  <customSheetViews>
    <customSheetView guid="{27B96A40-A6B2-43F7-A93C-713F4207CB2A}">
      <selection activeCell="I24" sqref="I24"/>
      <pageMargins left="0.7" right="0.7" top="0.75" bottom="0.75" header="0.3" footer="0.3"/>
      <headerFooter/>
    </customSheetView>
  </customSheetViews>
  <mergeCells count="33">
    <mergeCell ref="A1:D1"/>
    <mergeCell ref="A2:D2"/>
    <mergeCell ref="C5:D5"/>
    <mergeCell ref="F5:G5"/>
    <mergeCell ref="F6:G6"/>
    <mergeCell ref="M8:P8"/>
    <mergeCell ref="A9:D9"/>
    <mergeCell ref="F9:H9"/>
    <mergeCell ref="M11:N11"/>
    <mergeCell ref="C12:D12"/>
    <mergeCell ref="M12:N12"/>
    <mergeCell ref="M13:N13"/>
    <mergeCell ref="M14:N14"/>
    <mergeCell ref="M15:N15"/>
    <mergeCell ref="O15:P15"/>
    <mergeCell ref="F16:G16"/>
    <mergeCell ref="H16:K16"/>
    <mergeCell ref="G19:H19"/>
    <mergeCell ref="G20:H20"/>
    <mergeCell ref="G21:H21"/>
    <mergeCell ref="F10:F13"/>
    <mergeCell ref="G10:G11"/>
    <mergeCell ref="G12:G13"/>
    <mergeCell ref="H5:H6"/>
    <mergeCell ref="O3:O4"/>
    <mergeCell ref="O5:O6"/>
    <mergeCell ref="O9:O10"/>
    <mergeCell ref="P9:P10"/>
    <mergeCell ref="A25:D31"/>
    <mergeCell ref="A17:D24"/>
    <mergeCell ref="M9:N10"/>
    <mergeCell ref="F14:G15"/>
    <mergeCell ref="H14:K15"/>
  </mergeCells>
  <dataValidations count="2">
    <dataValidation type="list" allowBlank="1" showInputMessage="1" showErrorMessage="1" sqref="G4">
      <formula1>"3.6,,4.6,4.8,5.6,5.8,6.8,8.8,9.8,10.9,12.9"</formula1>
    </dataValidation>
    <dataValidation type="list" allowBlank="1" showInputMessage="1" showErrorMessage="1" sqref="F4">
      <formula1>"1,2,2.5,3,4,5,6,8,10,12,14,16,18,20,24,27,30,33,36"</formula1>
    </dataValidation>
  </dataValidations>
  <pageMargins left="0.7" right="0.7" top="0.75" bottom="0.75" header="0.3" footer="0.3"/>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I77"/>
  <sheetViews>
    <sheetView workbookViewId="0">
      <selection activeCell="A47" sqref="A47:D52"/>
    </sheetView>
  </sheetViews>
  <sheetFormatPr defaultColWidth="15.625" defaultRowHeight="20.1" customHeight="1"/>
  <cols>
    <col min="1" max="1" width="14.75" style="47" customWidth="1"/>
    <col min="2" max="2" width="20.5" style="47" customWidth="1"/>
    <col min="3" max="3" width="15.625" style="551"/>
    <col min="4" max="4" width="17.625" style="47" customWidth="1"/>
    <col min="5" max="5" width="5.625" style="47" customWidth="1"/>
    <col min="6" max="14" width="8.625" style="47" customWidth="1"/>
    <col min="15" max="15" width="21.5" style="47" customWidth="1"/>
    <col min="16" max="20" width="14.625" style="47" customWidth="1"/>
    <col min="21" max="22" width="10.625" style="47" customWidth="1"/>
    <col min="23" max="28" width="8.625" style="47" customWidth="1"/>
    <col min="29" max="16384" width="15.625" style="47"/>
  </cols>
  <sheetData>
    <row r="1" ht="21.95" customHeight="1" spans="1:4">
      <c r="A1" s="124" t="s">
        <v>958</v>
      </c>
      <c r="B1" s="125"/>
      <c r="C1" s="125"/>
      <c r="D1" s="125"/>
    </row>
    <row r="2" customHeight="1" spans="1:29">
      <c r="A2" s="744" t="s">
        <v>959</v>
      </c>
      <c r="B2" s="744"/>
      <c r="C2" s="744"/>
      <c r="D2" s="744"/>
      <c r="F2" s="106" t="s">
        <v>960</v>
      </c>
      <c r="AC2" s="47" t="s">
        <v>497</v>
      </c>
    </row>
    <row r="3" customHeight="1" spans="1:35">
      <c r="A3" s="9" t="s">
        <v>269</v>
      </c>
      <c r="B3" s="9" t="s">
        <v>270</v>
      </c>
      <c r="C3" s="32" t="s">
        <v>271</v>
      </c>
      <c r="D3" s="9" t="s">
        <v>272</v>
      </c>
      <c r="F3" s="32" t="s">
        <v>961</v>
      </c>
      <c r="G3" s="32"/>
      <c r="H3" s="32"/>
      <c r="I3" s="812" t="s">
        <v>962</v>
      </c>
      <c r="J3" s="813"/>
      <c r="K3" s="812" t="s">
        <v>963</v>
      </c>
      <c r="L3" s="813"/>
      <c r="M3" s="812" t="s">
        <v>964</v>
      </c>
      <c r="N3" s="813"/>
      <c r="O3" s="293" t="s">
        <v>965</v>
      </c>
      <c r="Z3" s="688"/>
      <c r="AA3" s="688"/>
      <c r="AB3" s="688"/>
      <c r="AC3" s="688"/>
      <c r="AD3" s="688"/>
      <c r="AE3" s="688"/>
      <c r="AF3" s="688"/>
      <c r="AI3" s="47" t="s">
        <v>892</v>
      </c>
    </row>
    <row r="4" customHeight="1" spans="1:35">
      <c r="A4" s="304" t="s">
        <v>164</v>
      </c>
      <c r="B4" s="9" t="s">
        <v>966</v>
      </c>
      <c r="C4" s="94">
        <v>79</v>
      </c>
      <c r="D4" s="9" t="s">
        <v>901</v>
      </c>
      <c r="F4" s="745" t="s">
        <v>967</v>
      </c>
      <c r="G4" s="746" t="s">
        <v>968</v>
      </c>
      <c r="H4" s="747"/>
      <c r="I4" s="814">
        <v>79</v>
      </c>
      <c r="J4" s="815"/>
      <c r="K4" s="816" t="s">
        <v>969</v>
      </c>
      <c r="L4" s="815"/>
      <c r="M4" s="12"/>
      <c r="N4" s="12"/>
      <c r="O4" s="817" t="s">
        <v>970</v>
      </c>
      <c r="Z4" s="690"/>
      <c r="AA4" s="690"/>
      <c r="AB4" s="690"/>
      <c r="AC4" s="690"/>
      <c r="AD4" s="690"/>
      <c r="AE4" s="690"/>
      <c r="AF4" s="690"/>
      <c r="AI4" s="47" t="s">
        <v>896</v>
      </c>
    </row>
    <row r="5" customHeight="1" spans="1:35">
      <c r="A5" s="308"/>
      <c r="B5" s="9" t="s">
        <v>971</v>
      </c>
      <c r="C5" s="91">
        <v>4</v>
      </c>
      <c r="D5" s="9"/>
      <c r="F5" s="748"/>
      <c r="G5" s="749" t="s">
        <v>972</v>
      </c>
      <c r="H5" s="750"/>
      <c r="I5" s="818"/>
      <c r="J5" s="819"/>
      <c r="K5" s="818"/>
      <c r="L5" s="819"/>
      <c r="M5" s="12"/>
      <c r="N5" s="12"/>
      <c r="O5" s="817"/>
      <c r="Z5" s="470"/>
      <c r="AA5" s="470"/>
      <c r="AB5" s="470"/>
      <c r="AC5" s="470"/>
      <c r="AD5" s="470"/>
      <c r="AE5" s="470"/>
      <c r="AF5" s="470"/>
      <c r="AI5" s="47" t="s">
        <v>899</v>
      </c>
    </row>
    <row r="6" customHeight="1" spans="1:35">
      <c r="A6" s="318"/>
      <c r="B6" s="9" t="s">
        <v>973</v>
      </c>
      <c r="C6" s="91">
        <v>20</v>
      </c>
      <c r="D6" s="9"/>
      <c r="F6" s="751" t="s">
        <v>974</v>
      </c>
      <c r="G6" s="752"/>
      <c r="H6" s="753"/>
      <c r="I6" s="818"/>
      <c r="J6" s="819"/>
      <c r="K6" s="818"/>
      <c r="L6" s="819"/>
      <c r="M6" s="818" t="s">
        <v>975</v>
      </c>
      <c r="N6" s="819"/>
      <c r="O6" s="820" t="s">
        <v>976</v>
      </c>
      <c r="Z6" s="114"/>
      <c r="AA6" s="114"/>
      <c r="AB6" s="114"/>
      <c r="AC6" s="114"/>
      <c r="AD6" s="114"/>
      <c r="AE6" s="114"/>
      <c r="AF6" s="114"/>
      <c r="AI6" s="47" t="s">
        <v>902</v>
      </c>
    </row>
    <row r="7" customHeight="1" spans="1:35">
      <c r="A7" s="390" t="s">
        <v>977</v>
      </c>
      <c r="B7" s="9" t="s">
        <v>978</v>
      </c>
      <c r="C7" s="32">
        <f>C6/C5</f>
        <v>5</v>
      </c>
      <c r="D7" s="9" t="s">
        <v>979</v>
      </c>
      <c r="F7" s="754" t="s">
        <v>980</v>
      </c>
      <c r="G7" s="755"/>
      <c r="H7" s="756"/>
      <c r="I7" s="821"/>
      <c r="J7" s="822"/>
      <c r="K7" s="821"/>
      <c r="L7" s="822"/>
      <c r="M7" s="821"/>
      <c r="N7" s="822"/>
      <c r="O7" s="823"/>
      <c r="Z7" s="114"/>
      <c r="AA7" s="114"/>
      <c r="AB7" s="114"/>
      <c r="AC7" s="114"/>
      <c r="AD7" s="114"/>
      <c r="AE7" s="114"/>
      <c r="AF7" s="114"/>
      <c r="AI7" s="47" t="s">
        <v>905</v>
      </c>
    </row>
    <row r="8" customHeight="1" spans="1:35">
      <c r="A8" s="390"/>
      <c r="B8" s="9" t="s">
        <v>981</v>
      </c>
      <c r="C8" s="97">
        <f>(4*C7-1)/(4*C7-4)+0.615/C7</f>
        <v>1.3105</v>
      </c>
      <c r="D8" s="9"/>
      <c r="F8" s="751" t="s">
        <v>982</v>
      </c>
      <c r="G8" s="752"/>
      <c r="H8" s="753"/>
      <c r="I8" s="824">
        <v>73</v>
      </c>
      <c r="J8" s="825"/>
      <c r="K8" s="824">
        <v>193</v>
      </c>
      <c r="L8" s="825"/>
      <c r="M8" s="824"/>
      <c r="N8" s="825"/>
      <c r="O8" s="826" t="s">
        <v>983</v>
      </c>
      <c r="Z8" s="114"/>
      <c r="AA8" s="114"/>
      <c r="AB8" s="114"/>
      <c r="AC8" s="114"/>
      <c r="AD8" s="114"/>
      <c r="AE8" s="114"/>
      <c r="AF8" s="114"/>
      <c r="AI8" s="47" t="s">
        <v>909</v>
      </c>
    </row>
    <row r="9" customHeight="1" spans="1:35">
      <c r="A9" s="390"/>
      <c r="B9" s="92" t="s">
        <v>984</v>
      </c>
      <c r="C9" s="757" t="s">
        <v>985</v>
      </c>
      <c r="D9" s="9"/>
      <c r="F9" s="758" t="s">
        <v>986</v>
      </c>
      <c r="G9" s="758"/>
      <c r="H9" s="758"/>
      <c r="I9" s="827">
        <v>41</v>
      </c>
      <c r="J9" s="828"/>
      <c r="K9" s="827"/>
      <c r="L9" s="828"/>
      <c r="M9" s="827"/>
      <c r="N9" s="828"/>
      <c r="O9" s="820" t="s">
        <v>987</v>
      </c>
      <c r="Z9" s="114"/>
      <c r="AA9" s="114"/>
      <c r="AB9" s="114"/>
      <c r="AC9" s="114"/>
      <c r="AD9" s="114"/>
      <c r="AE9" s="114"/>
      <c r="AF9" s="114"/>
      <c r="AI9" s="47" t="s">
        <v>918</v>
      </c>
    </row>
    <row r="10" customHeight="1" spans="1:35">
      <c r="A10" s="390"/>
      <c r="B10" s="9" t="s">
        <v>988</v>
      </c>
      <c r="C10" s="91">
        <v>369</v>
      </c>
      <c r="D10" s="117" t="s">
        <v>989</v>
      </c>
      <c r="F10" s="759" t="s">
        <v>990</v>
      </c>
      <c r="G10" s="759"/>
      <c r="H10" s="759"/>
      <c r="I10" s="829">
        <v>40</v>
      </c>
      <c r="J10" s="830"/>
      <c r="K10" s="829">
        <v>93.2</v>
      </c>
      <c r="L10" s="830"/>
      <c r="M10" s="829" t="s">
        <v>991</v>
      </c>
      <c r="N10" s="830"/>
      <c r="O10" s="823"/>
      <c r="Z10" s="114"/>
      <c r="AA10" s="114"/>
      <c r="AB10" s="114"/>
      <c r="AC10" s="114"/>
      <c r="AD10" s="114"/>
      <c r="AE10" s="114"/>
      <c r="AF10" s="114"/>
      <c r="AI10" s="47" t="s">
        <v>924</v>
      </c>
    </row>
    <row r="11" customHeight="1" spans="1:35">
      <c r="A11" s="390"/>
      <c r="B11" s="9" t="str">
        <f>IF(C9="压缩弹簧","最大许用压力[F](N)","最大许用拉力[F](N)")</f>
        <v>最大许用压力[F](N)</v>
      </c>
      <c r="C11" s="259">
        <f>PI()*C5^3*C10/(8*C8*C6)</f>
        <v>353.833709019346</v>
      </c>
      <c r="D11" s="113"/>
      <c r="F11" s="758" t="s">
        <v>992</v>
      </c>
      <c r="G11" s="758"/>
      <c r="H11" s="758"/>
      <c r="I11" s="827">
        <v>44</v>
      </c>
      <c r="J11" s="828"/>
      <c r="K11" s="827">
        <v>129.5</v>
      </c>
      <c r="L11" s="828"/>
      <c r="M11" s="827" t="s">
        <v>993</v>
      </c>
      <c r="N11" s="828"/>
      <c r="O11" s="831"/>
      <c r="Z11" s="114"/>
      <c r="AA11" s="114"/>
      <c r="AB11" s="114"/>
      <c r="AC11" s="114"/>
      <c r="AD11" s="114"/>
      <c r="AE11" s="114"/>
      <c r="AF11" s="114"/>
      <c r="AI11" s="47" t="s">
        <v>931</v>
      </c>
    </row>
    <row r="12" customHeight="1" spans="1:29">
      <c r="A12" s="390"/>
      <c r="B12" s="9" t="str">
        <f>IF(C9="压缩弹簧","实际负载压力F(N)","实际负载拉力F(N)")</f>
        <v>实际负载压力F(N)</v>
      </c>
      <c r="C12" s="760">
        <v>100</v>
      </c>
      <c r="D12" s="9"/>
      <c r="F12" s="688"/>
      <c r="G12" s="688"/>
      <c r="H12" s="688"/>
      <c r="I12" s="688"/>
      <c r="J12" s="688"/>
      <c r="K12" s="688"/>
      <c r="L12" s="832"/>
      <c r="W12" s="114"/>
      <c r="X12" s="114"/>
      <c r="Y12" s="114"/>
      <c r="Z12" s="114"/>
      <c r="AA12" s="114"/>
      <c r="AB12" s="114"/>
      <c r="AC12" s="114"/>
    </row>
    <row r="13" customHeight="1" spans="1:12">
      <c r="A13" s="390"/>
      <c r="B13" s="92" t="s">
        <v>994</v>
      </c>
      <c r="C13" s="447" t="str">
        <f>IF(C12&lt;=C11,"校核合格","不合格")</f>
        <v>校核合格</v>
      </c>
      <c r="D13" s="459"/>
      <c r="F13" s="47" t="s">
        <v>995</v>
      </c>
      <c r="G13" s="688"/>
      <c r="H13" s="688"/>
      <c r="I13" s="688"/>
      <c r="J13" s="688"/>
      <c r="K13" s="688"/>
      <c r="L13" s="832"/>
    </row>
    <row r="14" customHeight="1" spans="1:14">
      <c r="A14" s="390" t="s">
        <v>996</v>
      </c>
      <c r="B14" s="92" t="s">
        <v>997</v>
      </c>
      <c r="C14" s="91">
        <v>7</v>
      </c>
      <c r="D14" s="9"/>
      <c r="F14" s="761" t="s">
        <v>998</v>
      </c>
      <c r="G14" s="761"/>
      <c r="H14" s="762" t="s">
        <v>999</v>
      </c>
      <c r="I14" s="833" t="s">
        <v>1000</v>
      </c>
      <c r="J14" s="833" t="s">
        <v>1001</v>
      </c>
      <c r="K14" s="833" t="s">
        <v>1002</v>
      </c>
      <c r="L14" s="833" t="s">
        <v>1003</v>
      </c>
      <c r="M14" s="833" t="s">
        <v>1004</v>
      </c>
      <c r="N14" s="47" t="s">
        <v>1005</v>
      </c>
    </row>
    <row r="15" customHeight="1" spans="1:14">
      <c r="A15" s="390"/>
      <c r="B15" s="9" t="s">
        <v>1006</v>
      </c>
      <c r="C15" s="91">
        <f>C14-2</f>
        <v>5</v>
      </c>
      <c r="D15" s="437" t="s">
        <v>1007</v>
      </c>
      <c r="F15" s="763" t="s">
        <v>899</v>
      </c>
      <c r="G15" s="763"/>
      <c r="H15" s="764" t="s">
        <v>1008</v>
      </c>
      <c r="I15" s="834" t="s">
        <v>1009</v>
      </c>
      <c r="J15" s="834" t="s">
        <v>1010</v>
      </c>
      <c r="K15" s="834" t="s">
        <v>1011</v>
      </c>
      <c r="L15" s="834" t="s">
        <v>1012</v>
      </c>
      <c r="M15" s="834" t="s">
        <v>1013</v>
      </c>
      <c r="N15" s="129" t="s">
        <v>1014</v>
      </c>
    </row>
    <row r="16" customHeight="1" spans="1:4">
      <c r="A16" s="390"/>
      <c r="B16" s="9" t="s">
        <v>1015</v>
      </c>
      <c r="C16" s="32">
        <f>C4*1000*C5^4/(8*C6^3*C15)</f>
        <v>63.2</v>
      </c>
      <c r="D16" s="9"/>
    </row>
    <row r="17" customHeight="1" spans="1:13">
      <c r="A17" s="31" t="s">
        <v>1016</v>
      </c>
      <c r="B17" s="9" t="s">
        <v>1017</v>
      </c>
      <c r="C17" s="105">
        <v>100</v>
      </c>
      <c r="D17" s="9"/>
      <c r="F17" s="47" t="s">
        <v>1018</v>
      </c>
      <c r="M17" s="47" t="s">
        <v>1019</v>
      </c>
    </row>
    <row r="18" customHeight="1" spans="1:12">
      <c r="A18" s="31"/>
      <c r="B18" s="9" t="s">
        <v>1020</v>
      </c>
      <c r="C18" s="97">
        <f>C17/C6</f>
        <v>5</v>
      </c>
      <c r="D18" s="9"/>
      <c r="F18" s="293" t="s">
        <v>158</v>
      </c>
      <c r="G18" s="293"/>
      <c r="H18" s="765"/>
      <c r="I18" s="92" t="s">
        <v>159</v>
      </c>
      <c r="J18" s="835" t="s">
        <v>1021</v>
      </c>
      <c r="K18" s="835"/>
      <c r="L18" s="835"/>
    </row>
    <row r="19" customHeight="1" spans="1:12">
      <c r="A19" s="31"/>
      <c r="B19" s="92" t="s">
        <v>1022</v>
      </c>
      <c r="C19" s="766" t="s">
        <v>1023</v>
      </c>
      <c r="D19" s="767"/>
      <c r="F19" s="768" t="s">
        <v>101</v>
      </c>
      <c r="G19" s="768"/>
      <c r="H19" s="769" t="s">
        <v>1024</v>
      </c>
      <c r="I19" s="769"/>
      <c r="J19" s="835"/>
      <c r="K19" s="835"/>
      <c r="L19" s="835"/>
    </row>
    <row r="20" customHeight="1" spans="1:12">
      <c r="A20" s="31"/>
      <c r="B20" s="92" t="s">
        <v>1025</v>
      </c>
      <c r="C20" s="770" t="str">
        <f>IF(C19="两端固定",IF(C18&gt;=5.3,"须计算稳定性","稳定,无需计算稳定性"),IF(C19="两端自由转动",IF(C18&gt;=2.6,"须计算稳定性","稳定,无需计算稳定性"),IF(C19="一端固定一端自由转动",IF(C18&gt;=3.7,"须计算稳定性","稳定,无需计算稳定性"))))</f>
        <v>稳定,无需计算稳定性</v>
      </c>
      <c r="D20" s="771"/>
      <c r="F20" s="759" t="s">
        <v>259</v>
      </c>
      <c r="G20" s="759"/>
      <c r="H20" s="759"/>
      <c r="I20" s="757" t="s">
        <v>556</v>
      </c>
      <c r="J20" s="835"/>
      <c r="K20" s="835"/>
      <c r="L20" s="835"/>
    </row>
    <row r="21" customHeight="1" spans="1:13">
      <c r="A21" s="31"/>
      <c r="B21" s="9" t="s">
        <v>1026</v>
      </c>
      <c r="C21" s="111">
        <v>0.25</v>
      </c>
      <c r="D21" s="9" t="s">
        <v>1027</v>
      </c>
      <c r="F21" s="331" t="s">
        <v>971</v>
      </c>
      <c r="G21" s="331"/>
      <c r="H21" s="331"/>
      <c r="I21" s="836">
        <v>0.9</v>
      </c>
      <c r="J21" s="835"/>
      <c r="K21" s="835"/>
      <c r="L21" s="835"/>
      <c r="M21" s="837"/>
    </row>
    <row r="22" customHeight="1" spans="1:12">
      <c r="A22" s="31"/>
      <c r="B22" s="169" t="s">
        <v>1028</v>
      </c>
      <c r="C22" s="259">
        <f>C21*C16*C17</f>
        <v>1580</v>
      </c>
      <c r="D22" s="9"/>
      <c r="F22" s="772" t="s">
        <v>1029</v>
      </c>
      <c r="G22" s="772"/>
      <c r="H22" s="759"/>
      <c r="I22" s="838">
        <v>1320</v>
      </c>
      <c r="J22" s="835"/>
      <c r="K22" s="835"/>
      <c r="L22" s="835"/>
    </row>
    <row r="23" customHeight="1" spans="1:13">
      <c r="A23" s="31"/>
      <c r="B23" s="773" t="s">
        <v>1030</v>
      </c>
      <c r="C23" s="660">
        <v>2000</v>
      </c>
      <c r="D23" s="168"/>
      <c r="F23" s="774" t="s">
        <v>1031</v>
      </c>
      <c r="G23" s="758"/>
      <c r="H23" s="758"/>
      <c r="I23" s="426">
        <f>IF(H19="碳素/琴钢丝",IF(I20="I",0.5*I22,IF(I20="II",0.6*I22,0.8*I22)),IF(I20="I",0.45*I22,IF(I20="II",0.55*I22,0.75*I22)))</f>
        <v>594</v>
      </c>
      <c r="J23" s="835"/>
      <c r="K23" s="835"/>
      <c r="L23" s="835"/>
      <c r="M23" s="837"/>
    </row>
    <row r="24" customHeight="1" spans="1:12">
      <c r="A24" s="31"/>
      <c r="B24" s="92" t="s">
        <v>1032</v>
      </c>
      <c r="C24" s="447" t="str">
        <f>IF(C20="须计算稳定性",IF(C23&lt;=C22,"稳定","不稳定"),"稳定，无需计算稳定性")</f>
        <v>稳定，无需计算稳定性</v>
      </c>
      <c r="D24" s="459"/>
      <c r="F24" s="772" t="s">
        <v>1033</v>
      </c>
      <c r="G24" s="772"/>
      <c r="H24" s="759"/>
      <c r="I24" s="426">
        <f>IF(H19="碳素/琴钢丝",IF(I20="I",0.3*I22,IF(I20="II",0.4*I22,0.5*I22)),IF(I20="I",0.28*I22,IF(#REF!="II",0.35*I22,0.45*I22)))</f>
        <v>369.6</v>
      </c>
      <c r="J24" s="835"/>
      <c r="K24" s="835"/>
      <c r="L24" s="835"/>
    </row>
    <row r="25" customHeight="1" spans="1:12">
      <c r="A25" s="31"/>
      <c r="B25" s="775" t="s">
        <v>1034</v>
      </c>
      <c r="C25" s="776"/>
      <c r="D25" s="777"/>
      <c r="F25" s="774" t="s">
        <v>1035</v>
      </c>
      <c r="G25" s="774"/>
      <c r="H25" s="758"/>
      <c r="I25" s="426">
        <f>0.8*I24</f>
        <v>295.68</v>
      </c>
      <c r="J25" s="835"/>
      <c r="K25" s="835"/>
      <c r="L25" s="835"/>
    </row>
    <row r="26" customHeight="1" spans="1:10">
      <c r="A26" s="31"/>
      <c r="B26" s="778"/>
      <c r="C26" s="779"/>
      <c r="D26" s="780"/>
      <c r="F26" s="106"/>
      <c r="G26" s="106"/>
      <c r="J26" s="839"/>
    </row>
    <row r="27" customHeight="1" spans="1:6">
      <c r="A27" s="31"/>
      <c r="B27" s="778"/>
      <c r="C27" s="779"/>
      <c r="D27" s="780"/>
      <c r="F27" s="47" t="s">
        <v>1036</v>
      </c>
    </row>
    <row r="28" customHeight="1" spans="1:10">
      <c r="A28" s="31"/>
      <c r="B28" s="781"/>
      <c r="C28" s="782"/>
      <c r="D28" s="783"/>
      <c r="F28" s="784" t="s">
        <v>1037</v>
      </c>
      <c r="G28" s="784" t="s">
        <v>101</v>
      </c>
      <c r="H28" s="785" t="s">
        <v>1038</v>
      </c>
      <c r="I28" s="840" t="s">
        <v>1039</v>
      </c>
      <c r="J28" s="841" t="s">
        <v>1040</v>
      </c>
    </row>
    <row r="29" customHeight="1" spans="1:10">
      <c r="A29" s="744" t="s">
        <v>1041</v>
      </c>
      <c r="B29" s="744"/>
      <c r="C29" s="744"/>
      <c r="D29" s="744"/>
      <c r="F29" s="784"/>
      <c r="G29" s="784"/>
      <c r="H29" s="785"/>
      <c r="I29" s="272"/>
      <c r="J29" s="841"/>
    </row>
    <row r="30" customHeight="1" spans="1:10">
      <c r="A30" s="9" t="s">
        <v>269</v>
      </c>
      <c r="B30" s="9" t="s">
        <v>270</v>
      </c>
      <c r="C30" s="32" t="s">
        <v>271</v>
      </c>
      <c r="D30" s="9" t="s">
        <v>272</v>
      </c>
      <c r="F30" s="784"/>
      <c r="G30" s="784"/>
      <c r="H30" s="785"/>
      <c r="I30" s="272"/>
      <c r="J30" s="841"/>
    </row>
    <row r="31" customHeight="1" spans="1:10">
      <c r="A31" s="304" t="s">
        <v>164</v>
      </c>
      <c r="B31" s="9" t="s">
        <v>1042</v>
      </c>
      <c r="C31" s="94">
        <v>200</v>
      </c>
      <c r="D31" s="9" t="s">
        <v>901</v>
      </c>
      <c r="F31" s="786" t="s">
        <v>1043</v>
      </c>
      <c r="G31" s="787" t="s">
        <v>1044</v>
      </c>
      <c r="H31" s="788">
        <v>340</v>
      </c>
      <c r="I31" s="842">
        <v>445</v>
      </c>
      <c r="J31" s="791">
        <v>430</v>
      </c>
    </row>
    <row r="32" customHeight="1" spans="1:10">
      <c r="A32" s="308"/>
      <c r="B32" s="9" t="s">
        <v>971</v>
      </c>
      <c r="C32" s="91">
        <v>5</v>
      </c>
      <c r="D32" s="9"/>
      <c r="F32" s="789"/>
      <c r="G32" s="790" t="s">
        <v>1045</v>
      </c>
      <c r="H32" s="791">
        <v>455</v>
      </c>
      <c r="I32" s="843">
        <v>590</v>
      </c>
      <c r="J32" s="791">
        <v>570</v>
      </c>
    </row>
    <row r="33" customHeight="1" spans="1:10">
      <c r="A33" s="318"/>
      <c r="B33" s="9" t="s">
        <v>973</v>
      </c>
      <c r="C33" s="91">
        <v>30</v>
      </c>
      <c r="D33" s="9"/>
      <c r="F33" s="792"/>
      <c r="G33" s="790" t="s">
        <v>1046</v>
      </c>
      <c r="H33" s="791">
        <v>570</v>
      </c>
      <c r="I33" s="843">
        <v>740</v>
      </c>
      <c r="J33" s="791">
        <v>710</v>
      </c>
    </row>
    <row r="34" customHeight="1" spans="1:10">
      <c r="A34" s="320" t="s">
        <v>977</v>
      </c>
      <c r="B34" s="9" t="s">
        <v>1047</v>
      </c>
      <c r="C34" s="97">
        <f>PI()*C32^3/32</f>
        <v>12.2718463030851</v>
      </c>
      <c r="D34" s="9"/>
      <c r="F34" s="793" t="s">
        <v>1048</v>
      </c>
      <c r="G34" s="794" t="s">
        <v>1044</v>
      </c>
      <c r="H34" s="795">
        <v>285</v>
      </c>
      <c r="I34" s="844">
        <v>370</v>
      </c>
      <c r="J34" s="795">
        <v>360</v>
      </c>
    </row>
    <row r="35" customHeight="1" spans="1:10">
      <c r="A35" s="329"/>
      <c r="B35" s="9" t="s">
        <v>978</v>
      </c>
      <c r="C35" s="32">
        <f>C33/C32</f>
        <v>6</v>
      </c>
      <c r="D35" s="796" t="s">
        <v>979</v>
      </c>
      <c r="F35" s="797"/>
      <c r="G35" s="794" t="s">
        <v>1045</v>
      </c>
      <c r="H35" s="795">
        <v>325</v>
      </c>
      <c r="I35" s="844">
        <v>420</v>
      </c>
      <c r="J35" s="795">
        <v>408</v>
      </c>
    </row>
    <row r="36" customHeight="1" spans="1:10">
      <c r="A36" s="329"/>
      <c r="B36" s="9" t="s">
        <v>1049</v>
      </c>
      <c r="C36" s="97">
        <f>(4*C35-1)/(4*C35-4)</f>
        <v>1.15</v>
      </c>
      <c r="D36" s="9"/>
      <c r="F36" s="798"/>
      <c r="G36" s="794" t="s">
        <v>1046</v>
      </c>
      <c r="H36" s="795">
        <v>380</v>
      </c>
      <c r="I36" s="844">
        <v>495</v>
      </c>
      <c r="J36" s="795">
        <v>475</v>
      </c>
    </row>
    <row r="37" customHeight="1" spans="1:10">
      <c r="A37" s="329"/>
      <c r="B37" s="9" t="s">
        <v>1050</v>
      </c>
      <c r="C37" s="91">
        <v>660</v>
      </c>
      <c r="D37" s="796" t="s">
        <v>1051</v>
      </c>
      <c r="F37" s="786" t="s">
        <v>1052</v>
      </c>
      <c r="G37" s="790" t="s">
        <v>1044</v>
      </c>
      <c r="H37" s="791">
        <v>455</v>
      </c>
      <c r="I37" s="843">
        <v>590</v>
      </c>
      <c r="J37" s="791">
        <v>570</v>
      </c>
    </row>
    <row r="38" customHeight="1" spans="1:10">
      <c r="A38" s="329"/>
      <c r="B38" s="9" t="s">
        <v>1053</v>
      </c>
      <c r="C38" s="259">
        <f>C37*C34/C36/1000</f>
        <v>7.04297266090103</v>
      </c>
      <c r="D38" s="113"/>
      <c r="F38" s="789"/>
      <c r="G38" s="790" t="s">
        <v>1045</v>
      </c>
      <c r="H38" s="791">
        <v>570</v>
      </c>
      <c r="I38" s="843">
        <v>740</v>
      </c>
      <c r="J38" s="791">
        <v>710</v>
      </c>
    </row>
    <row r="39" customHeight="1" spans="1:10">
      <c r="A39" s="329"/>
      <c r="B39" s="9" t="s">
        <v>1054</v>
      </c>
      <c r="C39" s="760">
        <v>7</v>
      </c>
      <c r="D39" s="9"/>
      <c r="F39" s="792"/>
      <c r="G39" s="790" t="s">
        <v>1046</v>
      </c>
      <c r="H39" s="791">
        <v>710</v>
      </c>
      <c r="I39" s="843">
        <v>925</v>
      </c>
      <c r="J39" s="791">
        <v>890</v>
      </c>
    </row>
    <row r="40" customHeight="1" spans="1:7">
      <c r="A40" s="202"/>
      <c r="B40" s="92" t="s">
        <v>994</v>
      </c>
      <c r="C40" s="447" t="str">
        <f>IF(C39&lt;=C38,"校核合格","不合格")</f>
        <v>校核合格</v>
      </c>
      <c r="D40" s="459"/>
      <c r="F40" s="799"/>
      <c r="G40" s="799"/>
    </row>
    <row r="41" customHeight="1" spans="1:7">
      <c r="A41" s="320" t="s">
        <v>996</v>
      </c>
      <c r="B41" s="9" t="s">
        <v>1055</v>
      </c>
      <c r="C41" s="800">
        <f>PI()*C32^4/64</f>
        <v>30.6796157577128</v>
      </c>
      <c r="D41" s="127" t="s">
        <v>1056</v>
      </c>
      <c r="F41" s="801" t="s">
        <v>1057</v>
      </c>
      <c r="G41" s="799"/>
    </row>
    <row r="42" customHeight="1" spans="1:7">
      <c r="A42" s="329"/>
      <c r="B42" s="9" t="s">
        <v>1058</v>
      </c>
      <c r="C42" s="91">
        <v>50</v>
      </c>
      <c r="D42" s="9"/>
      <c r="F42" s="799"/>
      <c r="G42" s="799"/>
    </row>
    <row r="43" customHeight="1" spans="1:7">
      <c r="A43" s="329"/>
      <c r="B43" s="92" t="s">
        <v>997</v>
      </c>
      <c r="C43" s="91">
        <v>13.5</v>
      </c>
      <c r="D43" s="9"/>
      <c r="F43" s="799"/>
      <c r="G43" s="799"/>
    </row>
    <row r="44" customHeight="1" spans="1:7">
      <c r="A44" s="329"/>
      <c r="B44" s="9" t="s">
        <v>1006</v>
      </c>
      <c r="C44" s="91">
        <f>C43-2</f>
        <v>11.5</v>
      </c>
      <c r="D44" s="437" t="s">
        <v>1007</v>
      </c>
      <c r="F44" s="799"/>
      <c r="G44" s="799"/>
    </row>
    <row r="45" customHeight="1" spans="1:7">
      <c r="A45" s="202"/>
      <c r="B45" s="9" t="s">
        <v>1059</v>
      </c>
      <c r="C45" s="97">
        <f>C31*1000*C41/(180*C33*C44)</f>
        <v>98.8071360956935</v>
      </c>
      <c r="D45" s="9"/>
      <c r="F45" s="799"/>
      <c r="G45" s="799"/>
    </row>
    <row r="46" customHeight="1" spans="1:7">
      <c r="A46" s="82"/>
      <c r="B46" s="82"/>
      <c r="C46" s="83"/>
      <c r="D46" s="82"/>
      <c r="F46" s="799"/>
      <c r="G46" s="799"/>
    </row>
    <row r="47" customHeight="1" spans="1:7">
      <c r="A47" s="460" t="s">
        <v>1060</v>
      </c>
      <c r="B47" s="461"/>
      <c r="C47" s="461"/>
      <c r="D47" s="462"/>
      <c r="F47" s="799"/>
      <c r="G47" s="799"/>
    </row>
    <row r="48" customHeight="1" spans="1:7">
      <c r="A48" s="463"/>
      <c r="B48" s="135"/>
      <c r="C48" s="135"/>
      <c r="D48" s="464"/>
      <c r="F48" s="799"/>
      <c r="G48" s="799"/>
    </row>
    <row r="49" customHeight="1" spans="1:7">
      <c r="A49" s="463"/>
      <c r="B49" s="135"/>
      <c r="C49" s="135"/>
      <c r="D49" s="464"/>
      <c r="F49" s="799"/>
      <c r="G49" s="799"/>
    </row>
    <row r="50" customHeight="1" spans="1:7">
      <c r="A50" s="463"/>
      <c r="B50" s="135"/>
      <c r="C50" s="135"/>
      <c r="D50" s="464"/>
      <c r="F50" s="799"/>
      <c r="G50" s="799"/>
    </row>
    <row r="51" customHeight="1" spans="1:7">
      <c r="A51" s="463"/>
      <c r="B51" s="135"/>
      <c r="C51" s="135"/>
      <c r="D51" s="464"/>
      <c r="F51" s="799"/>
      <c r="G51" s="799"/>
    </row>
    <row r="52" customHeight="1" spans="1:4">
      <c r="A52" s="463"/>
      <c r="B52" s="135"/>
      <c r="C52" s="135"/>
      <c r="D52" s="464"/>
    </row>
    <row r="53" customHeight="1" spans="1:4">
      <c r="A53" s="802" t="s">
        <v>1061</v>
      </c>
      <c r="B53" s="803"/>
      <c r="C53" s="803"/>
      <c r="D53" s="804"/>
    </row>
    <row r="54" customHeight="1" spans="1:4">
      <c r="A54" s="805"/>
      <c r="B54" s="806"/>
      <c r="C54" s="806"/>
      <c r="D54" s="807"/>
    </row>
    <row r="55" customHeight="1" spans="1:4">
      <c r="A55" s="805"/>
      <c r="B55" s="806"/>
      <c r="C55" s="806"/>
      <c r="D55" s="807"/>
    </row>
    <row r="56" customHeight="1" spans="1:6">
      <c r="A56" s="808"/>
      <c r="B56" s="809"/>
      <c r="C56" s="809"/>
      <c r="D56" s="810"/>
      <c r="F56" s="811" t="s">
        <v>1062</v>
      </c>
    </row>
    <row r="57" customHeight="1" spans="1:1">
      <c r="A57" s="47" t="s">
        <v>1063</v>
      </c>
    </row>
    <row r="60" customHeight="1" spans="15:15">
      <c r="O60" s="47">
        <v>7</v>
      </c>
    </row>
    <row r="68" customHeight="1" spans="6:13">
      <c r="F68" s="845" t="s">
        <v>1064</v>
      </c>
      <c r="G68" s="845"/>
      <c r="H68" s="846"/>
      <c r="I68" s="845" t="s">
        <v>1065</v>
      </c>
      <c r="J68" s="845"/>
      <c r="K68" s="845" t="s">
        <v>1066</v>
      </c>
      <c r="L68" s="845"/>
      <c r="M68" s="845"/>
    </row>
    <row r="69" customHeight="1" spans="6:6">
      <c r="F69" s="47" t="s">
        <v>1067</v>
      </c>
    </row>
    <row r="70" customHeight="1" spans="6:13">
      <c r="F70" s="123" t="s">
        <v>1068</v>
      </c>
      <c r="G70" s="765" t="s">
        <v>1069</v>
      </c>
      <c r="H70" s="661" t="s">
        <v>1070</v>
      </c>
      <c r="I70" s="661" t="s">
        <v>1071</v>
      </c>
      <c r="J70" s="661" t="s">
        <v>1072</v>
      </c>
      <c r="K70" s="661" t="s">
        <v>1073</v>
      </c>
      <c r="L70" s="661" t="s">
        <v>1074</v>
      </c>
      <c r="M70" s="661" t="s">
        <v>1075</v>
      </c>
    </row>
    <row r="71" customHeight="1" spans="6:13">
      <c r="F71" s="682" t="s">
        <v>1076</v>
      </c>
      <c r="G71" s="847">
        <v>0.6</v>
      </c>
      <c r="H71" s="847">
        <v>1</v>
      </c>
      <c r="I71" s="847">
        <v>2</v>
      </c>
      <c r="J71" s="847">
        <v>3</v>
      </c>
      <c r="K71" s="847">
        <v>4</v>
      </c>
      <c r="L71" s="847">
        <v>5</v>
      </c>
      <c r="M71" s="847">
        <v>6</v>
      </c>
    </row>
    <row r="75" customHeight="1" spans="7:13">
      <c r="G75" s="848"/>
      <c r="H75" s="848"/>
      <c r="I75" s="848"/>
      <c r="J75" s="848"/>
      <c r="K75" s="848"/>
      <c r="L75" s="848"/>
      <c r="M75" s="848"/>
    </row>
    <row r="76" customHeight="1" spans="7:15">
      <c r="G76" s="848"/>
      <c r="H76" s="848"/>
      <c r="I76" s="848"/>
      <c r="J76" s="848"/>
      <c r="K76" s="848"/>
      <c r="L76" s="848"/>
      <c r="M76" s="848"/>
      <c r="O76" s="848"/>
    </row>
    <row r="77" customHeight="1" spans="15:15">
      <c r="O77" s="848"/>
    </row>
  </sheetData>
  <customSheetViews>
    <customSheetView guid="{27B96A40-A6B2-43F7-A93C-713F4207CB2A}">
      <selection activeCell="C5" sqref="C5"/>
      <pageMargins left="0.7" right="0.7" top="0.75" bottom="0.75" header="0.3" footer="0.3"/>
      <pageSetup paperSize="9" orientation="portrait"/>
      <headerFooter/>
    </customSheetView>
  </customSheetViews>
  <mergeCells count="71">
    <mergeCell ref="A1:D1"/>
    <mergeCell ref="A2:D2"/>
    <mergeCell ref="F3:H3"/>
    <mergeCell ref="I3:J3"/>
    <mergeCell ref="K3:L3"/>
    <mergeCell ref="M3:N3"/>
    <mergeCell ref="G4:H4"/>
    <mergeCell ref="G5:H5"/>
    <mergeCell ref="F6:H6"/>
    <mergeCell ref="F7:H7"/>
    <mergeCell ref="F8:H8"/>
    <mergeCell ref="I8:J8"/>
    <mergeCell ref="K8:L8"/>
    <mergeCell ref="M8:N8"/>
    <mergeCell ref="F9:H9"/>
    <mergeCell ref="I9:J9"/>
    <mergeCell ref="K9:L9"/>
    <mergeCell ref="M9:N9"/>
    <mergeCell ref="F10:H10"/>
    <mergeCell ref="I10:J10"/>
    <mergeCell ref="K10:L10"/>
    <mergeCell ref="M10:N10"/>
    <mergeCell ref="F11:H11"/>
    <mergeCell ref="I11:J11"/>
    <mergeCell ref="K11:L11"/>
    <mergeCell ref="M11:N11"/>
    <mergeCell ref="C13:D13"/>
    <mergeCell ref="F14:G14"/>
    <mergeCell ref="F15:G15"/>
    <mergeCell ref="F18:H18"/>
    <mergeCell ref="F19:G19"/>
    <mergeCell ref="H19:I19"/>
    <mergeCell ref="C20:D20"/>
    <mergeCell ref="F20:H20"/>
    <mergeCell ref="F21:H21"/>
    <mergeCell ref="F22:H22"/>
    <mergeCell ref="F23:H23"/>
    <mergeCell ref="C24:D24"/>
    <mergeCell ref="F24:H24"/>
    <mergeCell ref="F25:H25"/>
    <mergeCell ref="A29:D29"/>
    <mergeCell ref="C40:D40"/>
    <mergeCell ref="F68:G68"/>
    <mergeCell ref="K68:M68"/>
    <mergeCell ref="A4:A6"/>
    <mergeCell ref="A7:A13"/>
    <mergeCell ref="A14:A16"/>
    <mergeCell ref="A17:A28"/>
    <mergeCell ref="A31:A33"/>
    <mergeCell ref="A34:A40"/>
    <mergeCell ref="A41:A45"/>
    <mergeCell ref="F4:F5"/>
    <mergeCell ref="F28:F30"/>
    <mergeCell ref="F31:F33"/>
    <mergeCell ref="F34:F36"/>
    <mergeCell ref="F37:F39"/>
    <mergeCell ref="G28:G30"/>
    <mergeCell ref="H28:H30"/>
    <mergeCell ref="I28:I30"/>
    <mergeCell ref="J28:J30"/>
    <mergeCell ref="O4:O5"/>
    <mergeCell ref="O6:O7"/>
    <mergeCell ref="O9:O11"/>
    <mergeCell ref="A47:D52"/>
    <mergeCell ref="A53:D56"/>
    <mergeCell ref="B25:D28"/>
    <mergeCell ref="M6:N7"/>
    <mergeCell ref="M4:N5"/>
    <mergeCell ref="I4:J7"/>
    <mergeCell ref="K4:L7"/>
    <mergeCell ref="J18:L25"/>
  </mergeCells>
  <dataValidations count="4">
    <dataValidation type="list" allowBlank="1" showInputMessage="1" showErrorMessage="1" sqref="I20">
      <formula1>"I,II,III"</formula1>
    </dataValidation>
    <dataValidation type="list" allowBlank="1" showInputMessage="1" showErrorMessage="1" sqref="C9">
      <formula1>"压缩弹簧,拉伸弹簧"</formula1>
    </dataValidation>
    <dataValidation type="list" allowBlank="1" showInputMessage="1" showErrorMessage="1" sqref="C19">
      <formula1>"两端固定,一端固定一端自由转动,两端自由转动"</formula1>
    </dataValidation>
    <dataValidation type="list" allowBlank="1" showInputMessage="1" showErrorMessage="1" sqref="H19">
      <formula1>"碳素/琴钢丝,不锈钢丝"</formula1>
    </dataValidation>
  </dataValidations>
  <pageMargins left="0.7" right="0.7" top="0.75" bottom="0.75" header="0.3" footer="0.3"/>
  <pageSetup paperSize="9" orientation="portrait"/>
  <headerFooter/>
  <drawing r:id="rId2"/>
  <legacyDrawing r:id="rId3"/>
  <oleObjects>
    <mc:AlternateContent xmlns:mc="http://schemas.openxmlformats.org/markup-compatibility/2006">
      <mc:Choice Requires="x14">
        <oleObject shapeId="24579" progId="Equations" r:id="rId4">
          <objectPr defaultSize="0" r:id="rId5">
            <anchor moveWithCells="1">
              <from>
                <xdr:col>3</xdr:col>
                <xdr:colOff>7620</xdr:colOff>
                <xdr:row>7</xdr:row>
                <xdr:rowOff>7620</xdr:rowOff>
              </from>
              <to>
                <xdr:col>3</xdr:col>
                <xdr:colOff>1021080</xdr:colOff>
                <xdr:row>8</xdr:row>
                <xdr:rowOff>129540</xdr:rowOff>
              </to>
            </anchor>
          </objectPr>
        </oleObject>
      </mc:Choice>
      <mc:Fallback>
        <oleObject shapeId="24579" progId="Equations" r:id="rId4"/>
      </mc:Fallback>
    </mc:AlternateContent>
    <mc:AlternateContent xmlns:mc="http://schemas.openxmlformats.org/markup-compatibility/2006">
      <mc:Choice Requires="x14">
        <oleObject shapeId="24581" progId="Equations" r:id="rId6">
          <objectPr defaultSize="0" r:id="rId7">
            <anchor moveWithCells="1">
              <from>
                <xdr:col>3</xdr:col>
                <xdr:colOff>7620</xdr:colOff>
                <xdr:row>15</xdr:row>
                <xdr:rowOff>7620</xdr:rowOff>
              </from>
              <to>
                <xdr:col>3</xdr:col>
                <xdr:colOff>617220</xdr:colOff>
                <xdr:row>16</xdr:row>
                <xdr:rowOff>76200</xdr:rowOff>
              </to>
            </anchor>
          </objectPr>
        </oleObject>
      </mc:Choice>
      <mc:Fallback>
        <oleObject shapeId="24581" progId="Equations" r:id="rId6"/>
      </mc:Fallback>
    </mc:AlternateContent>
    <mc:AlternateContent xmlns:mc="http://schemas.openxmlformats.org/markup-compatibility/2006">
      <mc:Choice Requires="x14">
        <oleObject shapeId="24582" progId="Equations" r:id="rId8">
          <objectPr defaultSize="0" r:id="rId9">
            <anchor moveWithCells="1">
              <from>
                <xdr:col>3</xdr:col>
                <xdr:colOff>7620</xdr:colOff>
                <xdr:row>10</xdr:row>
                <xdr:rowOff>7620</xdr:rowOff>
              </from>
              <to>
                <xdr:col>3</xdr:col>
                <xdr:colOff>937260</xdr:colOff>
                <xdr:row>11</xdr:row>
                <xdr:rowOff>160020</xdr:rowOff>
              </to>
            </anchor>
          </objectPr>
        </oleObject>
      </mc:Choice>
      <mc:Fallback>
        <oleObject shapeId="24582" progId="Equations" r:id="rId8"/>
      </mc:Fallback>
    </mc:AlternateContent>
    <mc:AlternateContent xmlns:mc="http://schemas.openxmlformats.org/markup-compatibility/2006">
      <mc:Choice Requires="x14">
        <oleObject shapeId="24584" progId="Equations" r:id="rId10">
          <objectPr defaultSize="0" r:id="rId11">
            <anchor moveWithCells="1">
              <from>
                <xdr:col>3</xdr:col>
                <xdr:colOff>7620</xdr:colOff>
                <xdr:row>44</xdr:row>
                <xdr:rowOff>7620</xdr:rowOff>
              </from>
              <to>
                <xdr:col>3</xdr:col>
                <xdr:colOff>868045</xdr:colOff>
                <xdr:row>45</xdr:row>
                <xdr:rowOff>106680</xdr:rowOff>
              </to>
            </anchor>
          </objectPr>
        </oleObject>
      </mc:Choice>
      <mc:Fallback>
        <oleObject shapeId="24584" progId="Equations" r:id="rId10"/>
      </mc:Fallback>
    </mc:AlternateContent>
    <mc:AlternateContent xmlns:mc="http://schemas.openxmlformats.org/markup-compatibility/2006">
      <mc:Choice Requires="x14">
        <oleObject shapeId="24586" progId="Equations" r:id="rId12">
          <objectPr defaultSize="0" r:id="rId13">
            <anchor moveWithCells="1">
              <from>
                <xdr:col>3</xdr:col>
                <xdr:colOff>7620</xdr:colOff>
                <xdr:row>37</xdr:row>
                <xdr:rowOff>0</xdr:rowOff>
              </from>
              <to>
                <xdr:col>3</xdr:col>
                <xdr:colOff>1036320</xdr:colOff>
                <xdr:row>38</xdr:row>
                <xdr:rowOff>121920</xdr:rowOff>
              </to>
            </anchor>
          </objectPr>
        </oleObject>
      </mc:Choice>
      <mc:Fallback>
        <oleObject shapeId="24586" progId="Equations" r:id="rId12"/>
      </mc:Fallback>
    </mc:AlternateContent>
    <mc:AlternateContent xmlns:mc="http://schemas.openxmlformats.org/markup-compatibility/2006">
      <mc:Choice Requires="x14">
        <oleObject shapeId="24588" progId="Equations" r:id="rId14">
          <objectPr defaultSize="0" r:id="rId15">
            <anchor moveWithCells="1">
              <from>
                <xdr:col>3</xdr:col>
                <xdr:colOff>7620</xdr:colOff>
                <xdr:row>35</xdr:row>
                <xdr:rowOff>7620</xdr:rowOff>
              </from>
              <to>
                <xdr:col>3</xdr:col>
                <xdr:colOff>594360</xdr:colOff>
                <xdr:row>36</xdr:row>
                <xdr:rowOff>114300</xdr:rowOff>
              </to>
            </anchor>
          </objectPr>
        </oleObject>
      </mc:Choice>
      <mc:Fallback>
        <oleObject shapeId="24588" progId="Equations" r:id="rId14"/>
      </mc:Fallback>
    </mc:AlternateContent>
  </oleObject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K125"/>
  <sheetViews>
    <sheetView workbookViewId="0">
      <selection activeCell="A87" sqref="A87:D93"/>
    </sheetView>
  </sheetViews>
  <sheetFormatPr defaultColWidth="15.625" defaultRowHeight="17.1" customHeight="1"/>
  <cols>
    <col min="1" max="1" width="15.625" style="47"/>
    <col min="2" max="2" width="20.5" style="47" customWidth="1"/>
    <col min="3" max="3" width="15.625" style="551"/>
    <col min="4" max="4" width="17.625" style="47" customWidth="1"/>
    <col min="5" max="5" width="5.625" style="47" customWidth="1"/>
    <col min="6" max="23" width="8.625" style="47" customWidth="1"/>
    <col min="24" max="16384" width="15.625" style="47"/>
  </cols>
  <sheetData>
    <row r="1" ht="21.95" customHeight="1" spans="1:4">
      <c r="A1" s="358" t="s">
        <v>1077</v>
      </c>
      <c r="B1" s="125"/>
      <c r="C1" s="125"/>
      <c r="D1" s="125"/>
    </row>
    <row r="2" customHeight="1" spans="1:37">
      <c r="A2" s="82" t="s">
        <v>1078</v>
      </c>
      <c r="B2" s="82"/>
      <c r="C2" s="83"/>
      <c r="D2" s="82"/>
      <c r="F2" s="643" t="s">
        <v>1079</v>
      </c>
      <c r="Y2" s="696" t="s">
        <v>497</v>
      </c>
      <c r="AK2" s="47" t="s">
        <v>497</v>
      </c>
    </row>
    <row r="3" customHeight="1" spans="1:37">
      <c r="A3" s="9" t="s">
        <v>269</v>
      </c>
      <c r="B3" s="9" t="s">
        <v>270</v>
      </c>
      <c r="C3" s="32" t="s">
        <v>271</v>
      </c>
      <c r="D3" s="9" t="s">
        <v>272</v>
      </c>
      <c r="F3" s="644" t="s">
        <v>1080</v>
      </c>
      <c r="G3" s="645" t="s">
        <v>1081</v>
      </c>
      <c r="H3" s="646"/>
      <c r="I3" s="646"/>
      <c r="J3" s="646"/>
      <c r="K3" s="646"/>
      <c r="L3" s="673"/>
      <c r="M3" s="674" t="s">
        <v>1082</v>
      </c>
      <c r="N3" s="674"/>
      <c r="O3" s="674"/>
      <c r="P3" s="674"/>
      <c r="Q3" s="674"/>
      <c r="R3" s="687"/>
      <c r="V3" s="688"/>
      <c r="W3" s="688"/>
      <c r="X3" s="688"/>
      <c r="Y3" s="696" t="s">
        <v>892</v>
      </c>
      <c r="Z3" s="688"/>
      <c r="AA3" s="688"/>
      <c r="AB3" s="688"/>
      <c r="AC3" s="688"/>
      <c r="AD3" s="688"/>
      <c r="AE3" s="688"/>
      <c r="AF3" s="688"/>
      <c r="AG3" s="688"/>
      <c r="AH3" s="688"/>
      <c r="AK3" s="47" t="s">
        <v>892</v>
      </c>
    </row>
    <row r="4" customHeight="1" spans="1:37">
      <c r="A4" s="42" t="s">
        <v>1083</v>
      </c>
      <c r="B4" s="9" t="s">
        <v>1084</v>
      </c>
      <c r="C4" s="91">
        <v>4</v>
      </c>
      <c r="D4" s="9"/>
      <c r="F4" s="647"/>
      <c r="G4" s="648" t="s">
        <v>1085</v>
      </c>
      <c r="H4" s="649"/>
      <c r="I4" s="675"/>
      <c r="J4" s="676" t="s">
        <v>1086</v>
      </c>
      <c r="K4" s="677"/>
      <c r="L4" s="678"/>
      <c r="M4" s="679" t="s">
        <v>1087</v>
      </c>
      <c r="N4" s="679"/>
      <c r="O4" s="679"/>
      <c r="P4" s="679"/>
      <c r="Q4" s="679"/>
      <c r="R4" s="689"/>
      <c r="V4" s="690"/>
      <c r="W4" s="690"/>
      <c r="X4" s="690"/>
      <c r="Y4" s="696" t="s">
        <v>896</v>
      </c>
      <c r="Z4" s="690"/>
      <c r="AA4" s="690"/>
      <c r="AB4" s="690"/>
      <c r="AC4" s="690"/>
      <c r="AD4" s="690"/>
      <c r="AE4" s="690"/>
      <c r="AF4" s="690"/>
      <c r="AG4" s="690"/>
      <c r="AH4" s="690"/>
      <c r="AK4" s="47" t="s">
        <v>896</v>
      </c>
    </row>
    <row r="5" customHeight="1" spans="1:37">
      <c r="A5" s="436"/>
      <c r="B5" s="9" t="s">
        <v>1088</v>
      </c>
      <c r="C5" s="91">
        <v>1440</v>
      </c>
      <c r="D5" s="9"/>
      <c r="F5" s="647"/>
      <c r="G5" s="6" t="s">
        <v>1089</v>
      </c>
      <c r="H5" s="6" t="s">
        <v>1090</v>
      </c>
      <c r="I5" s="6" t="s">
        <v>1091</v>
      </c>
      <c r="J5" s="6" t="s">
        <v>1089</v>
      </c>
      <c r="K5" s="6" t="s">
        <v>1090</v>
      </c>
      <c r="L5" s="680" t="s">
        <v>1091</v>
      </c>
      <c r="M5" s="681" t="s">
        <v>1092</v>
      </c>
      <c r="N5" s="682" t="s">
        <v>1093</v>
      </c>
      <c r="O5" s="682" t="s">
        <v>1094</v>
      </c>
      <c r="P5" s="682" t="s">
        <v>1095</v>
      </c>
      <c r="Q5" s="682" t="s">
        <v>1096</v>
      </c>
      <c r="R5" s="691"/>
      <c r="V5" s="470"/>
      <c r="W5" s="470"/>
      <c r="X5" s="470"/>
      <c r="Y5" s="697" t="s">
        <v>899</v>
      </c>
      <c r="Z5" s="470"/>
      <c r="AA5" s="470"/>
      <c r="AB5" s="470"/>
      <c r="AC5" s="470"/>
      <c r="AD5" s="470"/>
      <c r="AE5" s="470"/>
      <c r="AF5" s="470"/>
      <c r="AG5" s="470"/>
      <c r="AH5" s="470"/>
      <c r="AK5" s="47" t="s">
        <v>899</v>
      </c>
    </row>
    <row r="6" customHeight="1" spans="1:37">
      <c r="A6" s="44"/>
      <c r="B6" s="9" t="s">
        <v>1097</v>
      </c>
      <c r="C6" s="91">
        <v>3</v>
      </c>
      <c r="D6" s="9"/>
      <c r="F6" s="650" t="s">
        <v>1098</v>
      </c>
      <c r="G6" s="651">
        <v>1</v>
      </c>
      <c r="H6" s="651">
        <v>1.1</v>
      </c>
      <c r="I6" s="651">
        <v>1.2</v>
      </c>
      <c r="J6" s="651">
        <v>1.1</v>
      </c>
      <c r="K6" s="651">
        <v>1.2</v>
      </c>
      <c r="L6" s="683">
        <v>1.3</v>
      </c>
      <c r="M6" s="684" t="s">
        <v>1099</v>
      </c>
      <c r="N6" s="685">
        <v>1.05</v>
      </c>
      <c r="O6" s="685">
        <v>1.11</v>
      </c>
      <c r="P6" s="685">
        <v>1.18</v>
      </c>
      <c r="Q6" s="685">
        <v>1.25</v>
      </c>
      <c r="R6" s="692"/>
      <c r="S6" s="114"/>
      <c r="T6" s="114"/>
      <c r="U6" s="114"/>
      <c r="V6" s="114"/>
      <c r="W6" s="114"/>
      <c r="X6" s="114"/>
      <c r="Y6" s="696" t="s">
        <v>902</v>
      </c>
      <c r="Z6" s="114"/>
      <c r="AA6" s="114"/>
      <c r="AB6" s="114"/>
      <c r="AC6" s="114"/>
      <c r="AD6" s="114"/>
      <c r="AE6" s="114"/>
      <c r="AF6" s="114"/>
      <c r="AG6" s="114"/>
      <c r="AH6" s="114"/>
      <c r="AK6" s="47" t="s">
        <v>902</v>
      </c>
    </row>
    <row r="7" customHeight="1" spans="1:37">
      <c r="A7" s="4" t="s">
        <v>1100</v>
      </c>
      <c r="B7" s="9" t="s">
        <v>1101</v>
      </c>
      <c r="C7" s="91">
        <v>1.1</v>
      </c>
      <c r="D7" s="554" t="s">
        <v>1102</v>
      </c>
      <c r="F7" s="650"/>
      <c r="G7" s="651"/>
      <c r="H7" s="651"/>
      <c r="I7" s="651"/>
      <c r="J7" s="651"/>
      <c r="K7" s="651"/>
      <c r="L7" s="683"/>
      <c r="M7" s="114"/>
      <c r="N7" s="114"/>
      <c r="O7" s="114"/>
      <c r="P7" s="114"/>
      <c r="Q7" s="114"/>
      <c r="R7" s="114"/>
      <c r="S7" s="114"/>
      <c r="T7" s="114"/>
      <c r="U7" s="114"/>
      <c r="V7" s="114"/>
      <c r="W7" s="114"/>
      <c r="X7" s="114"/>
      <c r="Y7" s="696" t="s">
        <v>905</v>
      </c>
      <c r="Z7" s="114"/>
      <c r="AA7" s="114"/>
      <c r="AB7" s="114"/>
      <c r="AC7" s="114"/>
      <c r="AD7" s="114"/>
      <c r="AE7" s="114"/>
      <c r="AF7" s="114"/>
      <c r="AG7" s="114"/>
      <c r="AH7" s="114"/>
      <c r="AK7" s="47" t="s">
        <v>905</v>
      </c>
    </row>
    <row r="8" customHeight="1" spans="1:37">
      <c r="A8" s="4"/>
      <c r="B8" s="9" t="s">
        <v>1103</v>
      </c>
      <c r="C8" s="32">
        <f>C4*C7</f>
        <v>4.4</v>
      </c>
      <c r="D8" s="9"/>
      <c r="F8" s="650" t="s">
        <v>1104</v>
      </c>
      <c r="G8" s="651">
        <v>1.1</v>
      </c>
      <c r="H8" s="651">
        <v>1.2</v>
      </c>
      <c r="I8" s="651">
        <v>1.3</v>
      </c>
      <c r="J8" s="651">
        <v>1.2</v>
      </c>
      <c r="K8" s="651">
        <v>1.3</v>
      </c>
      <c r="L8" s="683">
        <v>1.4</v>
      </c>
      <c r="M8" s="114"/>
      <c r="N8" s="114"/>
      <c r="O8" s="114"/>
      <c r="P8" s="114"/>
      <c r="Q8" s="114"/>
      <c r="R8" s="114"/>
      <c r="S8" s="114"/>
      <c r="T8" s="114"/>
      <c r="U8" s="114"/>
      <c r="V8" s="114"/>
      <c r="W8" s="114"/>
      <c r="X8" s="114"/>
      <c r="Y8" s="696" t="s">
        <v>909</v>
      </c>
      <c r="Z8" s="114"/>
      <c r="AA8" s="114"/>
      <c r="AB8" s="114"/>
      <c r="AC8" s="114"/>
      <c r="AD8" s="114"/>
      <c r="AE8" s="114"/>
      <c r="AF8" s="114"/>
      <c r="AG8" s="114"/>
      <c r="AH8" s="114"/>
      <c r="AK8" s="47" t="s">
        <v>909</v>
      </c>
    </row>
    <row r="9" customHeight="1" spans="1:37">
      <c r="A9" s="29" t="s">
        <v>1105</v>
      </c>
      <c r="B9" s="9" t="s">
        <v>1106</v>
      </c>
      <c r="C9" s="574" t="s">
        <v>892</v>
      </c>
      <c r="D9" s="554" t="s">
        <v>1107</v>
      </c>
      <c r="F9" s="652"/>
      <c r="G9" s="651"/>
      <c r="H9" s="651"/>
      <c r="I9" s="651"/>
      <c r="J9" s="651"/>
      <c r="K9" s="651"/>
      <c r="L9" s="683"/>
      <c r="M9" s="114"/>
      <c r="N9" s="114"/>
      <c r="O9" s="114"/>
      <c r="P9" s="114"/>
      <c r="Q9" s="114"/>
      <c r="R9" s="114"/>
      <c r="S9" s="114"/>
      <c r="T9" s="114"/>
      <c r="U9" s="114"/>
      <c r="V9" s="114"/>
      <c r="W9" s="114"/>
      <c r="X9" s="114"/>
      <c r="Y9" s="696" t="s">
        <v>918</v>
      </c>
      <c r="Z9" s="114"/>
      <c r="AA9" s="114"/>
      <c r="AB9" s="114"/>
      <c r="AC9" s="114"/>
      <c r="AD9" s="114"/>
      <c r="AE9" s="114"/>
      <c r="AF9" s="114"/>
      <c r="AG9" s="114"/>
      <c r="AH9" s="114"/>
      <c r="AK9" s="47" t="s">
        <v>918</v>
      </c>
    </row>
    <row r="10" customHeight="1" spans="1:37">
      <c r="A10" s="4" t="s">
        <v>1108</v>
      </c>
      <c r="B10" s="9" t="s">
        <v>1109</v>
      </c>
      <c r="C10" s="91">
        <v>90</v>
      </c>
      <c r="D10" s="554" t="s">
        <v>1110</v>
      </c>
      <c r="F10" s="650" t="s">
        <v>1111</v>
      </c>
      <c r="G10" s="651">
        <v>1.2</v>
      </c>
      <c r="H10" s="651">
        <v>1.3</v>
      </c>
      <c r="I10" s="651">
        <v>1.4</v>
      </c>
      <c r="J10" s="651">
        <v>1.4</v>
      </c>
      <c r="K10" s="651">
        <v>1.5</v>
      </c>
      <c r="L10" s="683">
        <v>1.6</v>
      </c>
      <c r="M10" s="114"/>
      <c r="N10" s="114"/>
      <c r="O10" s="114"/>
      <c r="P10" s="114"/>
      <c r="Q10" s="114"/>
      <c r="R10" s="114"/>
      <c r="S10" s="114"/>
      <c r="T10" s="114"/>
      <c r="U10" s="114"/>
      <c r="V10" s="114"/>
      <c r="W10" s="114"/>
      <c r="X10" s="114"/>
      <c r="Y10" s="696" t="s">
        <v>931</v>
      </c>
      <c r="Z10" s="114"/>
      <c r="AA10" s="114"/>
      <c r="AB10" s="114"/>
      <c r="AC10" s="114"/>
      <c r="AD10" s="114"/>
      <c r="AE10" s="114"/>
      <c r="AF10" s="114"/>
      <c r="AG10" s="114"/>
      <c r="AH10" s="114"/>
      <c r="AK10" s="47" t="s">
        <v>924</v>
      </c>
    </row>
    <row r="11" customHeight="1" spans="1:37">
      <c r="A11" s="4"/>
      <c r="B11" s="9" t="s">
        <v>1112</v>
      </c>
      <c r="C11" s="104">
        <f>PI()*C10*C5/60000</f>
        <v>6.78584013175395</v>
      </c>
      <c r="D11" s="113" t="s">
        <v>1113</v>
      </c>
      <c r="F11" s="652"/>
      <c r="G11" s="651"/>
      <c r="H11" s="651"/>
      <c r="I11" s="651"/>
      <c r="J11" s="651"/>
      <c r="K11" s="651"/>
      <c r="L11" s="683"/>
      <c r="M11" s="114"/>
      <c r="N11" s="114"/>
      <c r="O11" s="114"/>
      <c r="P11" s="114"/>
      <c r="Q11" s="114"/>
      <c r="R11" s="114"/>
      <c r="S11" s="114"/>
      <c r="T11" s="114"/>
      <c r="U11" s="114"/>
      <c r="V11" s="114"/>
      <c r="W11" s="114"/>
      <c r="X11" s="114"/>
      <c r="Y11" s="696" t="s">
        <v>1114</v>
      </c>
      <c r="Z11" s="114"/>
      <c r="AA11" s="114"/>
      <c r="AB11" s="114"/>
      <c r="AC11" s="114"/>
      <c r="AD11" s="114"/>
      <c r="AE11" s="114"/>
      <c r="AF11" s="114"/>
      <c r="AG11" s="114"/>
      <c r="AH11" s="114"/>
      <c r="AK11" s="47" t="s">
        <v>931</v>
      </c>
    </row>
    <row r="12" customHeight="1" spans="1:34">
      <c r="A12" s="4"/>
      <c r="B12" s="9" t="s">
        <v>1115</v>
      </c>
      <c r="C12" s="653">
        <f>C6*C10</f>
        <v>270</v>
      </c>
      <c r="D12" s="9"/>
      <c r="F12" s="650" t="s">
        <v>1116</v>
      </c>
      <c r="G12" s="651">
        <v>1.3</v>
      </c>
      <c r="H12" s="651">
        <v>1.4</v>
      </c>
      <c r="I12" s="651">
        <v>1.5</v>
      </c>
      <c r="J12" s="651">
        <v>1.5</v>
      </c>
      <c r="K12" s="651">
        <v>1.6</v>
      </c>
      <c r="L12" s="683">
        <v>1.8</v>
      </c>
      <c r="M12" s="114"/>
      <c r="N12" s="114"/>
      <c r="O12" s="114"/>
      <c r="P12" s="114"/>
      <c r="Q12" s="114"/>
      <c r="R12" s="114"/>
      <c r="S12" s="114"/>
      <c r="T12" s="114"/>
      <c r="U12" s="114"/>
      <c r="V12" s="114"/>
      <c r="W12" s="114"/>
      <c r="X12" s="114"/>
      <c r="Y12" s="696" t="s">
        <v>1117</v>
      </c>
      <c r="Z12" s="114"/>
      <c r="AA12" s="114"/>
      <c r="AB12" s="114"/>
      <c r="AC12" s="114"/>
      <c r="AD12" s="114"/>
      <c r="AE12" s="114"/>
      <c r="AF12" s="114"/>
      <c r="AG12" s="114"/>
      <c r="AH12" s="114"/>
    </row>
    <row r="13" customHeight="1" spans="1:12">
      <c r="A13" s="4"/>
      <c r="B13" s="9" t="s">
        <v>1118</v>
      </c>
      <c r="C13" s="91">
        <v>315</v>
      </c>
      <c r="D13" s="554" t="s">
        <v>1110</v>
      </c>
      <c r="F13" s="654"/>
      <c r="G13" s="655"/>
      <c r="H13" s="655"/>
      <c r="I13" s="655"/>
      <c r="J13" s="655"/>
      <c r="K13" s="655"/>
      <c r="L13" s="686"/>
    </row>
    <row r="14" customHeight="1" spans="1:4">
      <c r="A14" s="100" t="s">
        <v>1119</v>
      </c>
      <c r="B14" s="9" t="s">
        <v>1120</v>
      </c>
      <c r="C14" s="91">
        <v>500</v>
      </c>
      <c r="D14" s="9" t="str">
        <f>0.7*(C10+C13)&amp;"~"&amp;2*(C10+C13)</f>
        <v>283.5~810</v>
      </c>
    </row>
    <row r="15" customHeight="1" spans="1:6">
      <c r="A15" s="101"/>
      <c r="B15" s="9" t="s">
        <v>1121</v>
      </c>
      <c r="C15" s="97">
        <f>2*C14+0.5*PI()*(C10+C13)+(C13-C10)^2/(4*C14)</f>
        <v>1661.48501235193</v>
      </c>
      <c r="D15" s="9"/>
      <c r="F15" s="47" t="s">
        <v>1122</v>
      </c>
    </row>
    <row r="16" customHeight="1" spans="1:4">
      <c r="A16" s="101"/>
      <c r="B16" s="9" t="s">
        <v>1123</v>
      </c>
      <c r="C16" s="91">
        <v>1600</v>
      </c>
      <c r="D16" s="554" t="s">
        <v>1124</v>
      </c>
    </row>
    <row r="17" ht="14.4" spans="1:4">
      <c r="A17" s="101"/>
      <c r="B17" s="9" t="s">
        <v>1125</v>
      </c>
      <c r="C17" s="97">
        <f>C14+(C16-C15)/2</f>
        <v>469.257493824033</v>
      </c>
      <c r="D17" s="9"/>
    </row>
    <row r="18" ht="14.4" spans="1:4">
      <c r="A18" s="110"/>
      <c r="B18" s="9" t="s">
        <v>1126</v>
      </c>
      <c r="C18" s="97" t="str">
        <f>ROUND((C17-0.015*C16),2)&amp;"~"&amp;ROUND((C17+0.03*C16),2)</f>
        <v>445.26~517.26</v>
      </c>
      <c r="D18" s="9" t="s">
        <v>1127</v>
      </c>
    </row>
    <row r="19" ht="14.4" spans="1:4">
      <c r="A19" s="271" t="s">
        <v>1128</v>
      </c>
      <c r="B19" s="169" t="s">
        <v>1129</v>
      </c>
      <c r="C19" s="656">
        <f>180-(C13-C10)*57.3/C17</f>
        <v>152.52574509799</v>
      </c>
      <c r="D19" s="9" t="s">
        <v>1130</v>
      </c>
    </row>
    <row r="20" ht="14.4" spans="1:4">
      <c r="A20" s="657"/>
      <c r="B20" s="658" t="str">
        <f>IF(OR((C19&gt;90),(C19=90)),"α1≥90°")</f>
        <v>α1≥90°</v>
      </c>
      <c r="C20" s="208" t="str">
        <f>IF(OR((C19&gt;90),(C19=90)),"校验合格")</f>
        <v>校验合格</v>
      </c>
      <c r="D20" s="168" t="s">
        <v>1131</v>
      </c>
    </row>
    <row r="21" ht="14.4" spans="1:4">
      <c r="A21" s="195" t="s">
        <v>1132</v>
      </c>
      <c r="B21" s="659" t="s">
        <v>1133</v>
      </c>
      <c r="C21" s="660">
        <v>1.064</v>
      </c>
      <c r="D21" s="554" t="s">
        <v>361</v>
      </c>
    </row>
    <row r="22" ht="14.4" spans="1:4">
      <c r="A22" s="196"/>
      <c r="B22" s="168" t="s">
        <v>1134</v>
      </c>
      <c r="C22" s="91">
        <v>0.17</v>
      </c>
      <c r="D22" s="554" t="s">
        <v>408</v>
      </c>
    </row>
    <row r="23" ht="14.4" spans="1:4">
      <c r="A23" s="196"/>
      <c r="B23" s="168" t="s">
        <v>1135</v>
      </c>
      <c r="C23" s="91">
        <v>0.99</v>
      </c>
      <c r="D23" s="554" t="s">
        <v>1124</v>
      </c>
    </row>
    <row r="24" ht="14.4" spans="1:4">
      <c r="A24" s="196"/>
      <c r="B24" s="168" t="s">
        <v>1136</v>
      </c>
      <c r="C24" s="91">
        <v>0.925</v>
      </c>
      <c r="D24" s="554" t="s">
        <v>419</v>
      </c>
    </row>
    <row r="25" ht="14.4" spans="1:4">
      <c r="A25" s="196"/>
      <c r="B25" s="168" t="s">
        <v>1137</v>
      </c>
      <c r="C25" s="97">
        <f>(C21+C22)*C23*C24</f>
        <v>1.1300355</v>
      </c>
      <c r="D25" s="97" t="s">
        <v>1138</v>
      </c>
    </row>
    <row r="26" ht="14.4" spans="1:4">
      <c r="A26" s="196"/>
      <c r="B26" s="168" t="s">
        <v>1139</v>
      </c>
      <c r="C26" s="104">
        <f>C8/C25</f>
        <v>3.89368298606548</v>
      </c>
      <c r="D26" s="9" t="s">
        <v>1140</v>
      </c>
    </row>
    <row r="27" ht="14.4" spans="1:4">
      <c r="A27" s="44">
        <f>ROUND(C8/C21,2)</f>
        <v>4.14</v>
      </c>
      <c r="B27" s="168" t="s">
        <v>1141</v>
      </c>
      <c r="C27" s="210">
        <v>4</v>
      </c>
      <c r="D27" s="661" t="s">
        <v>1142</v>
      </c>
    </row>
    <row r="28" ht="14.4" spans="1:4">
      <c r="A28" s="662" t="s">
        <v>1143</v>
      </c>
      <c r="B28" s="9" t="s">
        <v>1144</v>
      </c>
      <c r="C28" s="32">
        <f>IF(C9=AK2,0.06,IF(C9=AK3,0.1,IF(C9=AK4,0.18,IF(C9=AK5,0.3,IF(C9=AK6,0.61,IF(C9=AK7,0.92,"请在C9选择带型"))))))</f>
        <v>0.1</v>
      </c>
      <c r="D28" s="9"/>
    </row>
    <row r="29" ht="14.4" spans="1:4">
      <c r="A29" s="662"/>
      <c r="B29" s="9" t="s">
        <v>1145</v>
      </c>
      <c r="C29" s="97">
        <f>500*C8*(2.5-C24)/(C24*C27*C11)+C28*C11^2</f>
        <v>142.610738058155</v>
      </c>
      <c r="D29" s="90" t="s">
        <v>1146</v>
      </c>
    </row>
    <row r="30" ht="14.4" spans="1:4">
      <c r="A30" s="662"/>
      <c r="B30" s="9" t="s">
        <v>1147</v>
      </c>
      <c r="C30" s="97">
        <f>1.5*C29</f>
        <v>213.916107087233</v>
      </c>
      <c r="D30" s="101"/>
    </row>
    <row r="31" ht="14.4" spans="1:4">
      <c r="A31" s="663"/>
      <c r="B31" s="9" t="s">
        <v>1148</v>
      </c>
      <c r="C31" s="97">
        <f>1.3*C29</f>
        <v>185.393959475602</v>
      </c>
      <c r="D31" s="110"/>
    </row>
    <row r="32" ht="14.4" spans="1:4">
      <c r="A32" s="664" t="s">
        <v>1149</v>
      </c>
      <c r="B32" s="9" t="s">
        <v>1150</v>
      </c>
      <c r="C32" s="32" t="str">
        <f>ROUND(2*C27*SIN(RADIANS(0.5*C19)),2)&amp;"*F0"</f>
        <v>7.77*F0</v>
      </c>
      <c r="D32" s="661" t="s">
        <v>1151</v>
      </c>
    </row>
    <row r="33" ht="14.55" spans="1:4">
      <c r="A33" s="82"/>
      <c r="B33" s="82"/>
      <c r="C33" s="83"/>
      <c r="D33" s="82"/>
    </row>
    <row r="34" ht="13.8" spans="1:4">
      <c r="A34" s="460" t="s">
        <v>1152</v>
      </c>
      <c r="B34" s="461"/>
      <c r="C34" s="461"/>
      <c r="D34" s="462"/>
    </row>
    <row r="35" ht="13.8" spans="1:4">
      <c r="A35" s="463"/>
      <c r="B35" s="135"/>
      <c r="C35" s="135"/>
      <c r="D35" s="464"/>
    </row>
    <row r="36" ht="13.8" spans="1:4">
      <c r="A36" s="463"/>
      <c r="B36" s="135"/>
      <c r="C36" s="135"/>
      <c r="D36" s="464"/>
    </row>
    <row r="37" ht="13.8" spans="1:4">
      <c r="A37" s="463"/>
      <c r="B37" s="135"/>
      <c r="C37" s="135"/>
      <c r="D37" s="464"/>
    </row>
    <row r="38" ht="14.4" spans="1:6">
      <c r="A38" s="463"/>
      <c r="B38" s="135"/>
      <c r="C38" s="135"/>
      <c r="D38" s="464"/>
      <c r="F38" s="47" t="s">
        <v>1153</v>
      </c>
    </row>
    <row r="39" ht="13.8" spans="1:18">
      <c r="A39" s="463"/>
      <c r="B39" s="135"/>
      <c r="C39" s="135"/>
      <c r="D39" s="464"/>
      <c r="F39" s="665" t="s">
        <v>1154</v>
      </c>
      <c r="G39" s="666" t="s">
        <v>1155</v>
      </c>
      <c r="H39" s="667"/>
      <c r="I39" s="667"/>
      <c r="J39" s="667"/>
      <c r="K39" s="667"/>
      <c r="L39" s="667"/>
      <c r="M39" s="667"/>
      <c r="N39" s="667"/>
      <c r="O39" s="667"/>
      <c r="P39" s="667"/>
      <c r="Q39" s="667"/>
      <c r="R39" s="693"/>
    </row>
    <row r="40" ht="13.8" spans="1:18">
      <c r="A40" s="463"/>
      <c r="B40" s="135"/>
      <c r="C40" s="135"/>
      <c r="D40" s="464"/>
      <c r="F40" s="665"/>
      <c r="G40" s="668"/>
      <c r="H40" s="669"/>
      <c r="I40" s="669"/>
      <c r="J40" s="669"/>
      <c r="K40" s="669"/>
      <c r="L40" s="669"/>
      <c r="M40" s="669"/>
      <c r="N40" s="669"/>
      <c r="O40" s="669"/>
      <c r="P40" s="669"/>
      <c r="Q40" s="669"/>
      <c r="R40" s="694"/>
    </row>
    <row r="41" ht="14.55" spans="1:18">
      <c r="A41" s="465"/>
      <c r="B41" s="466"/>
      <c r="C41" s="466"/>
      <c r="D41" s="467"/>
      <c r="F41" s="665"/>
      <c r="G41" s="670"/>
      <c r="H41" s="182"/>
      <c r="I41" s="182"/>
      <c r="J41" s="182"/>
      <c r="K41" s="182"/>
      <c r="L41" s="182"/>
      <c r="M41" s="182"/>
      <c r="N41" s="182"/>
      <c r="O41" s="182"/>
      <c r="P41" s="182"/>
      <c r="Q41" s="182"/>
      <c r="R41" s="695"/>
    </row>
    <row r="42" ht="14.4" spans="1:12">
      <c r="A42" s="671"/>
      <c r="B42" s="671"/>
      <c r="C42" s="671"/>
      <c r="D42" s="671"/>
      <c r="G42" s="672"/>
      <c r="H42" s="672"/>
      <c r="I42" s="672"/>
      <c r="J42" s="672"/>
      <c r="K42" s="672"/>
      <c r="L42" s="672"/>
    </row>
    <row r="43" ht="14.4" spans="1:12">
      <c r="A43" s="671"/>
      <c r="B43" s="671"/>
      <c r="C43" s="671"/>
      <c r="D43" s="671"/>
      <c r="F43" s="47" t="s">
        <v>1156</v>
      </c>
      <c r="G43" s="672"/>
      <c r="H43" s="672"/>
      <c r="I43" s="672"/>
      <c r="J43" s="672"/>
      <c r="K43" s="672"/>
      <c r="L43" s="672"/>
    </row>
    <row r="44" ht="14.4" spans="1:11">
      <c r="A44" s="671"/>
      <c r="B44" s="671"/>
      <c r="C44" s="671"/>
      <c r="D44" s="671"/>
      <c r="G44" s="672"/>
      <c r="H44" s="672"/>
      <c r="I44" s="672"/>
      <c r="J44" s="672"/>
      <c r="K44" s="672"/>
    </row>
    <row r="45" ht="14.4" spans="1:4">
      <c r="A45" s="671"/>
      <c r="B45" s="671"/>
      <c r="C45" s="671"/>
      <c r="D45" s="671"/>
    </row>
    <row r="46" ht="14.4" spans="1:4">
      <c r="A46" s="671"/>
      <c r="B46" s="671"/>
      <c r="C46" s="671"/>
      <c r="D46" s="671"/>
    </row>
    <row r="47" ht="14.4" spans="1:4">
      <c r="A47" s="671"/>
      <c r="B47" s="671"/>
      <c r="C47" s="671"/>
      <c r="D47" s="671"/>
    </row>
    <row r="48" ht="14.4" spans="1:4">
      <c r="A48" s="671"/>
      <c r="B48" s="671"/>
      <c r="C48" s="671"/>
      <c r="D48" s="671"/>
    </row>
    <row r="49" ht="13.8" spans="1:4">
      <c r="A49" s="82"/>
      <c r="B49" s="82"/>
      <c r="C49" s="83"/>
      <c r="D49" s="82"/>
    </row>
    <row r="50" ht="13.8" spans="1:4">
      <c r="A50" s="82"/>
      <c r="B50" s="82"/>
      <c r="C50" s="83"/>
      <c r="D50" s="82"/>
    </row>
    <row r="51" ht="13.8" spans="1:4">
      <c r="A51" s="82"/>
      <c r="B51" s="82"/>
      <c r="C51" s="83"/>
      <c r="D51" s="82"/>
    </row>
    <row r="52" ht="13.8" spans="1:4">
      <c r="A52" s="82"/>
      <c r="B52" s="82"/>
      <c r="C52" s="83"/>
      <c r="D52" s="82"/>
    </row>
    <row r="53" ht="13.8" spans="1:4">
      <c r="A53" s="82"/>
      <c r="B53" s="82"/>
      <c r="C53" s="83"/>
      <c r="D53" s="82"/>
    </row>
    <row r="54" ht="13.8" spans="1:4">
      <c r="A54" s="82"/>
      <c r="B54" s="82"/>
      <c r="C54" s="83"/>
      <c r="D54" s="82"/>
    </row>
    <row r="55" ht="13.8" spans="1:4">
      <c r="A55" s="82"/>
      <c r="B55" s="82"/>
      <c r="C55" s="83"/>
      <c r="D55" s="82"/>
    </row>
    <row r="56" ht="13.8" spans="1:4">
      <c r="A56" s="82"/>
      <c r="B56" s="82"/>
      <c r="C56" s="83"/>
      <c r="D56" s="82"/>
    </row>
    <row r="57" ht="13.8" spans="1:4">
      <c r="A57" s="82"/>
      <c r="B57" s="82"/>
      <c r="C57" s="83"/>
      <c r="D57" s="82"/>
    </row>
    <row r="58" ht="13.8" spans="1:4">
      <c r="A58" s="82"/>
      <c r="B58" s="82"/>
      <c r="C58" s="83"/>
      <c r="D58" s="82"/>
    </row>
    <row r="59" ht="13.8" spans="1:4">
      <c r="A59" s="82"/>
      <c r="B59" s="82"/>
      <c r="C59" s="83"/>
      <c r="D59" s="82"/>
    </row>
    <row r="60" ht="13.8" spans="1:4">
      <c r="A60" s="82"/>
      <c r="B60" s="82"/>
      <c r="C60" s="83"/>
      <c r="D60" s="82"/>
    </row>
    <row r="61" ht="13.8" spans="1:4">
      <c r="A61" s="82"/>
      <c r="B61" s="82"/>
      <c r="C61" s="83"/>
      <c r="D61" s="82"/>
    </row>
    <row r="62" ht="13.8" spans="1:4">
      <c r="A62" s="82"/>
      <c r="B62" s="82"/>
      <c r="C62" s="83"/>
      <c r="D62" s="82"/>
    </row>
    <row r="63" ht="13.8" spans="1:4">
      <c r="A63" s="82"/>
      <c r="B63" s="82"/>
      <c r="C63" s="83"/>
      <c r="D63" s="82"/>
    </row>
    <row r="64" ht="13.8" spans="1:4">
      <c r="A64" s="82"/>
      <c r="B64" s="82"/>
      <c r="C64" s="83"/>
      <c r="D64" s="82"/>
    </row>
    <row r="65" ht="13.8" spans="1:4">
      <c r="A65" s="82"/>
      <c r="B65" s="82"/>
      <c r="C65" s="83"/>
      <c r="D65" s="82"/>
    </row>
    <row r="66" ht="13.8" spans="1:4">
      <c r="A66" s="82"/>
      <c r="B66" s="82"/>
      <c r="C66" s="83"/>
      <c r="D66" s="82"/>
    </row>
    <row r="67" ht="15.15" spans="1:6">
      <c r="A67" s="82"/>
      <c r="B67" s="82"/>
      <c r="C67" s="83"/>
      <c r="D67" s="82"/>
      <c r="F67" s="47" t="s">
        <v>1157</v>
      </c>
    </row>
    <row r="68" ht="15.6" spans="1:23">
      <c r="A68" s="82"/>
      <c r="B68" s="82"/>
      <c r="C68" s="83"/>
      <c r="D68" s="82"/>
      <c r="F68" s="698" t="s">
        <v>1158</v>
      </c>
      <c r="G68" s="699" t="s">
        <v>1159</v>
      </c>
      <c r="H68" s="700" t="s">
        <v>1160</v>
      </c>
      <c r="I68" s="726"/>
      <c r="J68" s="726"/>
      <c r="K68" s="726"/>
      <c r="L68" s="726"/>
      <c r="M68" s="726"/>
      <c r="N68" s="727"/>
      <c r="O68" s="698" t="s">
        <v>1158</v>
      </c>
      <c r="P68" s="699" t="s">
        <v>1159</v>
      </c>
      <c r="Q68" s="700" t="s">
        <v>1160</v>
      </c>
      <c r="R68" s="726"/>
      <c r="S68" s="726"/>
      <c r="T68" s="726"/>
      <c r="U68" s="726"/>
      <c r="V68" s="726"/>
      <c r="W68" s="727"/>
    </row>
    <row r="69" ht="15.6" spans="1:23">
      <c r="A69" s="82"/>
      <c r="B69" s="82"/>
      <c r="C69" s="83"/>
      <c r="D69" s="82"/>
      <c r="F69" s="701"/>
      <c r="G69" s="702"/>
      <c r="H69" s="703">
        <v>400</v>
      </c>
      <c r="I69" s="728">
        <v>730</v>
      </c>
      <c r="J69" s="728">
        <v>800</v>
      </c>
      <c r="K69" s="728">
        <v>980</v>
      </c>
      <c r="L69" s="728">
        <v>1200</v>
      </c>
      <c r="M69" s="728">
        <v>1460</v>
      </c>
      <c r="N69" s="729">
        <v>2800</v>
      </c>
      <c r="O69" s="701"/>
      <c r="P69" s="702"/>
      <c r="Q69" s="728">
        <v>400</v>
      </c>
      <c r="R69" s="728">
        <v>730</v>
      </c>
      <c r="S69" s="728">
        <v>800</v>
      </c>
      <c r="T69" s="728">
        <v>980</v>
      </c>
      <c r="U69" s="728">
        <v>1200</v>
      </c>
      <c r="V69" s="728">
        <v>1460</v>
      </c>
      <c r="W69" s="729">
        <v>2800</v>
      </c>
    </row>
    <row r="70" ht="15.6" spans="1:23">
      <c r="A70" s="82"/>
      <c r="B70" s="82"/>
      <c r="C70" s="83"/>
      <c r="D70" s="82"/>
      <c r="F70" s="704" t="s">
        <v>1161</v>
      </c>
      <c r="G70" s="705">
        <v>50</v>
      </c>
      <c r="H70" s="705">
        <v>0.06</v>
      </c>
      <c r="I70" s="730">
        <v>0.09</v>
      </c>
      <c r="J70" s="730">
        <v>0.1</v>
      </c>
      <c r="K70" s="730">
        <v>0.12</v>
      </c>
      <c r="L70" s="730">
        <v>0.14</v>
      </c>
      <c r="M70" s="730">
        <v>0.16</v>
      </c>
      <c r="N70" s="731">
        <v>0.26</v>
      </c>
      <c r="O70" s="732" t="s">
        <v>1162</v>
      </c>
      <c r="P70" s="705">
        <v>63</v>
      </c>
      <c r="Q70" s="730">
        <v>0.35</v>
      </c>
      <c r="R70" s="730">
        <v>0.56</v>
      </c>
      <c r="S70" s="730">
        <v>0.6</v>
      </c>
      <c r="T70" s="730">
        <v>0.7</v>
      </c>
      <c r="U70" s="730">
        <v>0.81</v>
      </c>
      <c r="V70" s="730">
        <v>0.93</v>
      </c>
      <c r="W70" s="731">
        <v>1.45</v>
      </c>
    </row>
    <row r="71" ht="15.6" spans="1:23">
      <c r="A71" s="82"/>
      <c r="B71" s="82"/>
      <c r="C71" s="83"/>
      <c r="D71" s="82"/>
      <c r="F71" s="706"/>
      <c r="G71" s="705">
        <v>63</v>
      </c>
      <c r="H71" s="705">
        <v>0.08</v>
      </c>
      <c r="I71" s="730">
        <v>0.13</v>
      </c>
      <c r="J71" s="730">
        <v>0.13</v>
      </c>
      <c r="K71" s="730">
        <v>0.18</v>
      </c>
      <c r="L71" s="730">
        <v>0.22</v>
      </c>
      <c r="M71" s="730">
        <v>0.25</v>
      </c>
      <c r="N71" s="731">
        <v>0.41</v>
      </c>
      <c r="O71" s="733"/>
      <c r="P71" s="705">
        <v>71</v>
      </c>
      <c r="Q71" s="730">
        <v>0.44</v>
      </c>
      <c r="R71" s="730">
        <v>0.72</v>
      </c>
      <c r="S71" s="730">
        <v>1.78</v>
      </c>
      <c r="T71" s="730">
        <v>0.92</v>
      </c>
      <c r="U71" s="730">
        <v>1.08</v>
      </c>
      <c r="V71" s="730">
        <v>1.25</v>
      </c>
      <c r="W71" s="731">
        <v>2</v>
      </c>
    </row>
    <row r="72" ht="15.6" spans="1:23">
      <c r="A72" s="82"/>
      <c r="B72" s="82"/>
      <c r="C72" s="83"/>
      <c r="D72" s="82"/>
      <c r="F72" s="706"/>
      <c r="G72" s="705">
        <v>71</v>
      </c>
      <c r="H72" s="705">
        <v>0.09</v>
      </c>
      <c r="I72" s="730">
        <v>0.17</v>
      </c>
      <c r="J72" s="730">
        <v>0.17</v>
      </c>
      <c r="K72" s="730">
        <v>0.23</v>
      </c>
      <c r="L72" s="730">
        <v>0.27</v>
      </c>
      <c r="M72" s="730">
        <v>0.31</v>
      </c>
      <c r="N72" s="731">
        <v>0.5</v>
      </c>
      <c r="O72" s="733"/>
      <c r="P72" s="705">
        <v>80</v>
      </c>
      <c r="Q72" s="730">
        <v>0.55</v>
      </c>
      <c r="R72" s="730">
        <v>0.88</v>
      </c>
      <c r="S72" s="730">
        <v>1.99</v>
      </c>
      <c r="T72" s="730">
        <v>1.15</v>
      </c>
      <c r="U72" s="730">
        <v>1.38</v>
      </c>
      <c r="V72" s="730">
        <v>1.6</v>
      </c>
      <c r="W72" s="731">
        <v>2.61</v>
      </c>
    </row>
    <row r="73" ht="15.6" spans="1:23">
      <c r="A73" s="82"/>
      <c r="B73" s="82"/>
      <c r="C73" s="83"/>
      <c r="D73" s="82"/>
      <c r="F73" s="701"/>
      <c r="G73" s="705">
        <v>80</v>
      </c>
      <c r="H73" s="705">
        <v>0.14</v>
      </c>
      <c r="I73" s="730">
        <v>0.2</v>
      </c>
      <c r="J73" s="730">
        <v>0.2</v>
      </c>
      <c r="K73" s="730">
        <v>0.26</v>
      </c>
      <c r="L73" s="730">
        <v>0.3</v>
      </c>
      <c r="M73" s="730">
        <v>0.36</v>
      </c>
      <c r="N73" s="731">
        <v>0.56</v>
      </c>
      <c r="O73" s="734"/>
      <c r="P73" s="705">
        <v>90</v>
      </c>
      <c r="Q73" s="730">
        <v>0.67</v>
      </c>
      <c r="R73" s="730">
        <v>1.12</v>
      </c>
      <c r="S73" s="730">
        <v>1.12</v>
      </c>
      <c r="T73" s="730">
        <v>1.44</v>
      </c>
      <c r="U73" s="730">
        <v>1.7</v>
      </c>
      <c r="V73" s="730">
        <v>1.98</v>
      </c>
      <c r="W73" s="731">
        <v>3.26</v>
      </c>
    </row>
    <row r="74" ht="15.6" spans="1:23">
      <c r="A74" s="82"/>
      <c r="B74" s="82"/>
      <c r="C74" s="83"/>
      <c r="D74" s="82"/>
      <c r="F74" s="704" t="s">
        <v>1163</v>
      </c>
      <c r="G74" s="705">
        <v>75</v>
      </c>
      <c r="H74" s="705">
        <v>0.27</v>
      </c>
      <c r="I74" s="730">
        <v>0.42</v>
      </c>
      <c r="J74" s="730">
        <v>0.45</v>
      </c>
      <c r="K74" s="730">
        <v>0.52</v>
      </c>
      <c r="L74" s="730">
        <v>0.6</v>
      </c>
      <c r="M74" s="730">
        <v>0.68</v>
      </c>
      <c r="N74" s="731">
        <v>1</v>
      </c>
      <c r="O74" s="732" t="s">
        <v>1164</v>
      </c>
      <c r="P74" s="705">
        <v>90</v>
      </c>
      <c r="Q74" s="730">
        <v>0.75</v>
      </c>
      <c r="R74" s="730">
        <v>1.21</v>
      </c>
      <c r="S74" s="730">
        <v>1.3</v>
      </c>
      <c r="T74" s="730">
        <v>1.52</v>
      </c>
      <c r="U74" s="730">
        <v>1.76</v>
      </c>
      <c r="V74" s="730">
        <v>2.02</v>
      </c>
      <c r="W74" s="731">
        <v>3</v>
      </c>
    </row>
    <row r="75" ht="15.6" spans="1:23">
      <c r="A75" s="82"/>
      <c r="B75" s="82"/>
      <c r="C75" s="83"/>
      <c r="D75" s="82"/>
      <c r="F75" s="706"/>
      <c r="G75" s="705">
        <v>90</v>
      </c>
      <c r="H75" s="705">
        <v>0.39</v>
      </c>
      <c r="I75" s="730">
        <v>0.63</v>
      </c>
      <c r="J75" s="730">
        <v>0.68</v>
      </c>
      <c r="K75" s="730">
        <v>0.79</v>
      </c>
      <c r="L75" s="730">
        <v>0.93</v>
      </c>
      <c r="M75" s="730">
        <v>1.07</v>
      </c>
      <c r="N75" s="731">
        <v>1.64</v>
      </c>
      <c r="O75" s="733"/>
      <c r="P75" s="705">
        <v>100</v>
      </c>
      <c r="Q75" s="730">
        <v>0.94</v>
      </c>
      <c r="R75" s="730">
        <v>0.54</v>
      </c>
      <c r="S75" s="730">
        <v>1.65</v>
      </c>
      <c r="T75" s="730">
        <v>1.93</v>
      </c>
      <c r="U75" s="730">
        <v>2.27</v>
      </c>
      <c r="V75" s="730">
        <v>2.61</v>
      </c>
      <c r="W75" s="731">
        <v>3.99</v>
      </c>
    </row>
    <row r="76" ht="15.6" spans="1:23">
      <c r="A76" s="82"/>
      <c r="B76" s="82"/>
      <c r="C76" s="83"/>
      <c r="D76" s="82"/>
      <c r="F76" s="706"/>
      <c r="G76" s="705">
        <v>100</v>
      </c>
      <c r="H76" s="705">
        <v>0.47</v>
      </c>
      <c r="I76" s="730">
        <v>0.77</v>
      </c>
      <c r="J76" s="730">
        <v>0.83</v>
      </c>
      <c r="K76" s="730">
        <v>0.97</v>
      </c>
      <c r="L76" s="730">
        <v>1.14</v>
      </c>
      <c r="M76" s="730">
        <v>1.32</v>
      </c>
      <c r="N76" s="731">
        <v>2.05</v>
      </c>
      <c r="O76" s="733"/>
      <c r="P76" s="705">
        <v>112</v>
      </c>
      <c r="Q76" s="730">
        <v>1.16</v>
      </c>
      <c r="R76" s="730">
        <v>1.91</v>
      </c>
      <c r="S76" s="730">
        <v>2.07</v>
      </c>
      <c r="T76" s="730">
        <v>2.44</v>
      </c>
      <c r="U76" s="730">
        <v>2.86</v>
      </c>
      <c r="V76" s="730">
        <v>3.31</v>
      </c>
      <c r="W76" s="731">
        <v>5.15</v>
      </c>
    </row>
    <row r="77" ht="15.6" spans="1:23">
      <c r="A77" s="82"/>
      <c r="B77" s="82"/>
      <c r="C77" s="83"/>
      <c r="D77" s="82"/>
      <c r="F77" s="706"/>
      <c r="G77" s="705">
        <v>112</v>
      </c>
      <c r="H77" s="705">
        <v>0.56</v>
      </c>
      <c r="I77" s="730">
        <v>0.93</v>
      </c>
      <c r="J77" s="730">
        <v>1</v>
      </c>
      <c r="K77" s="730">
        <v>1.18</v>
      </c>
      <c r="L77" s="730">
        <v>1.39</v>
      </c>
      <c r="M77" s="730">
        <v>1.62</v>
      </c>
      <c r="N77" s="731">
        <v>2.51</v>
      </c>
      <c r="O77" s="733"/>
      <c r="P77" s="705">
        <v>125</v>
      </c>
      <c r="Q77" s="730">
        <v>1.4</v>
      </c>
      <c r="R77" s="730">
        <v>2.33</v>
      </c>
      <c r="S77" s="730">
        <v>2.52</v>
      </c>
      <c r="T77" s="730">
        <v>2.98</v>
      </c>
      <c r="U77" s="730">
        <v>3.05</v>
      </c>
      <c r="V77" s="730">
        <v>4.06</v>
      </c>
      <c r="W77" s="731">
        <v>6.34</v>
      </c>
    </row>
    <row r="78" ht="15.6" spans="1:23">
      <c r="A78" s="82"/>
      <c r="B78" s="82"/>
      <c r="C78" s="83"/>
      <c r="D78" s="82"/>
      <c r="F78" s="701"/>
      <c r="G78" s="705">
        <v>125</v>
      </c>
      <c r="H78" s="705">
        <v>0.67</v>
      </c>
      <c r="I78" s="730">
        <v>1.11</v>
      </c>
      <c r="J78" s="730">
        <v>1.19</v>
      </c>
      <c r="K78" s="730">
        <v>1.4</v>
      </c>
      <c r="L78" s="730">
        <v>1.66</v>
      </c>
      <c r="M78" s="730">
        <v>1.93</v>
      </c>
      <c r="N78" s="731">
        <v>2.98</v>
      </c>
      <c r="O78" s="734"/>
      <c r="P78" s="705">
        <v>140</v>
      </c>
      <c r="Q78" s="730">
        <v>1.68</v>
      </c>
      <c r="R78" s="730">
        <v>2.81</v>
      </c>
      <c r="S78" s="730">
        <v>3.03</v>
      </c>
      <c r="T78" s="730">
        <v>3.58</v>
      </c>
      <c r="U78" s="730">
        <v>4.23</v>
      </c>
      <c r="V78" s="730">
        <v>4.91</v>
      </c>
      <c r="W78" s="731">
        <v>7.64</v>
      </c>
    </row>
    <row r="79" ht="15.6" spans="1:23">
      <c r="A79" s="82"/>
      <c r="B79" s="82"/>
      <c r="C79" s="83"/>
      <c r="D79" s="82"/>
      <c r="F79" s="704" t="s">
        <v>1165</v>
      </c>
      <c r="G79" s="705">
        <v>125</v>
      </c>
      <c r="H79" s="705">
        <v>0.84</v>
      </c>
      <c r="I79" s="730">
        <v>1.34</v>
      </c>
      <c r="J79" s="730">
        <v>1.44</v>
      </c>
      <c r="K79" s="730">
        <v>1.67</v>
      </c>
      <c r="L79" s="730">
        <v>1.93</v>
      </c>
      <c r="M79" s="730">
        <v>2.2</v>
      </c>
      <c r="N79" s="731">
        <v>2.96</v>
      </c>
      <c r="O79" s="732" t="s">
        <v>1166</v>
      </c>
      <c r="P79" s="705">
        <v>140</v>
      </c>
      <c r="Q79" s="730">
        <v>1.92</v>
      </c>
      <c r="R79" s="730">
        <v>3.13</v>
      </c>
      <c r="S79" s="730">
        <v>3.35</v>
      </c>
      <c r="T79" s="730">
        <v>3.92</v>
      </c>
      <c r="U79" s="730">
        <v>4.55</v>
      </c>
      <c r="V79" s="730">
        <v>5.21</v>
      </c>
      <c r="W79" s="731">
        <v>7.15</v>
      </c>
    </row>
    <row r="80" ht="15.6" spans="1:23">
      <c r="A80" s="82"/>
      <c r="B80" s="82"/>
      <c r="C80" s="83"/>
      <c r="D80" s="82"/>
      <c r="F80" s="706"/>
      <c r="G80" s="705">
        <v>140</v>
      </c>
      <c r="H80" s="705">
        <v>1.05</v>
      </c>
      <c r="I80" s="730">
        <v>1.69</v>
      </c>
      <c r="J80" s="730">
        <v>1.82</v>
      </c>
      <c r="K80" s="730">
        <v>2.13</v>
      </c>
      <c r="L80" s="730">
        <v>2.47</v>
      </c>
      <c r="M80" s="730">
        <v>2.83</v>
      </c>
      <c r="N80" s="731">
        <v>3.85</v>
      </c>
      <c r="O80" s="733"/>
      <c r="P80" s="705">
        <v>160</v>
      </c>
      <c r="Q80" s="730">
        <v>2.47</v>
      </c>
      <c r="R80" s="730">
        <v>4.06</v>
      </c>
      <c r="S80" s="730">
        <v>4.37</v>
      </c>
      <c r="T80" s="730">
        <v>5.13</v>
      </c>
      <c r="U80" s="730">
        <v>5.98</v>
      </c>
      <c r="V80" s="730">
        <v>6.89</v>
      </c>
      <c r="W80" s="731">
        <v>9.52</v>
      </c>
    </row>
    <row r="81" ht="15.6" spans="1:23">
      <c r="A81" s="82"/>
      <c r="B81" s="82"/>
      <c r="C81" s="83"/>
      <c r="D81" s="82"/>
      <c r="F81" s="706"/>
      <c r="G81" s="705">
        <v>160</v>
      </c>
      <c r="H81" s="705">
        <v>1.32</v>
      </c>
      <c r="I81" s="730">
        <v>2.16</v>
      </c>
      <c r="J81" s="730">
        <v>2.23</v>
      </c>
      <c r="K81" s="730">
        <v>2.72</v>
      </c>
      <c r="L81" s="730">
        <v>3.17</v>
      </c>
      <c r="M81" s="730">
        <v>3.64</v>
      </c>
      <c r="N81" s="731">
        <v>4.89</v>
      </c>
      <c r="O81" s="733"/>
      <c r="P81" s="705">
        <v>180</v>
      </c>
      <c r="Q81" s="730">
        <v>3.01</v>
      </c>
      <c r="R81" s="730">
        <v>4.99</v>
      </c>
      <c r="S81" s="730">
        <v>5.37</v>
      </c>
      <c r="T81" s="730">
        <v>6.31</v>
      </c>
      <c r="U81" s="730">
        <v>7.38</v>
      </c>
      <c r="V81" s="730">
        <v>8.5</v>
      </c>
      <c r="W81" s="731">
        <v>11.62</v>
      </c>
    </row>
    <row r="82" ht="15.6" spans="6:23">
      <c r="F82" s="706"/>
      <c r="G82" s="705">
        <v>180</v>
      </c>
      <c r="H82" s="705">
        <v>1.59</v>
      </c>
      <c r="I82" s="730">
        <v>2.61</v>
      </c>
      <c r="J82" s="730">
        <v>2.81</v>
      </c>
      <c r="K82" s="730">
        <v>3.3</v>
      </c>
      <c r="L82" s="730">
        <v>3.85</v>
      </c>
      <c r="M82" s="730">
        <v>4.41</v>
      </c>
      <c r="N82" s="731">
        <v>5.76</v>
      </c>
      <c r="O82" s="733"/>
      <c r="P82" s="705">
        <v>200</v>
      </c>
      <c r="Q82" s="730">
        <v>3.54</v>
      </c>
      <c r="R82" s="730">
        <v>5.88</v>
      </c>
      <c r="S82" s="730">
        <v>6.35</v>
      </c>
      <c r="T82" s="730">
        <v>7.47</v>
      </c>
      <c r="U82" s="730">
        <v>8.74</v>
      </c>
      <c r="V82" s="730">
        <v>10.07</v>
      </c>
      <c r="W82" s="731">
        <v>13.41</v>
      </c>
    </row>
    <row r="83" ht="15.6" spans="6:23">
      <c r="F83" s="701"/>
      <c r="G83" s="705">
        <v>200</v>
      </c>
      <c r="H83" s="705">
        <v>1.85</v>
      </c>
      <c r="I83" s="730">
        <v>3.05</v>
      </c>
      <c r="J83" s="730">
        <v>3.3</v>
      </c>
      <c r="K83" s="730">
        <v>3.86</v>
      </c>
      <c r="L83" s="730">
        <v>4.5</v>
      </c>
      <c r="M83" s="730">
        <v>5.15</v>
      </c>
      <c r="N83" s="731">
        <v>6.43</v>
      </c>
      <c r="O83" s="734"/>
      <c r="P83" s="705">
        <v>224</v>
      </c>
      <c r="Q83" s="730">
        <v>4.18</v>
      </c>
      <c r="R83" s="730">
        <v>6.97</v>
      </c>
      <c r="S83" s="730">
        <v>7.52</v>
      </c>
      <c r="T83" s="730">
        <v>8.83</v>
      </c>
      <c r="U83" s="730">
        <v>10.33</v>
      </c>
      <c r="V83" s="730">
        <v>11.86</v>
      </c>
      <c r="W83" s="731">
        <v>15.14</v>
      </c>
    </row>
    <row r="84" ht="15.6" spans="6:23">
      <c r="F84" s="704" t="s">
        <v>1167</v>
      </c>
      <c r="G84" s="705">
        <v>200</v>
      </c>
      <c r="H84" s="705">
        <v>2.41</v>
      </c>
      <c r="I84" s="730">
        <v>3.8</v>
      </c>
      <c r="J84" s="730">
        <v>4.07</v>
      </c>
      <c r="K84" s="730">
        <v>4.66</v>
      </c>
      <c r="L84" s="730">
        <v>5.29</v>
      </c>
      <c r="M84" s="730">
        <v>5.86</v>
      </c>
      <c r="N84" s="731">
        <v>5.01</v>
      </c>
      <c r="O84" s="732" t="s">
        <v>1168</v>
      </c>
      <c r="P84" s="705">
        <v>224</v>
      </c>
      <c r="Q84" s="730">
        <v>5.19</v>
      </c>
      <c r="R84" s="730">
        <v>8.82</v>
      </c>
      <c r="S84" s="730">
        <v>10.43</v>
      </c>
      <c r="T84" s="730">
        <v>10.39</v>
      </c>
      <c r="U84" s="730">
        <v>11.89</v>
      </c>
      <c r="V84" s="730">
        <v>13.26</v>
      </c>
      <c r="W84" s="731" t="s">
        <v>246</v>
      </c>
    </row>
    <row r="85" ht="15.6" spans="6:23">
      <c r="F85" s="706"/>
      <c r="G85" s="705">
        <v>224</v>
      </c>
      <c r="H85" s="705">
        <v>2.99</v>
      </c>
      <c r="I85" s="730">
        <v>4.778</v>
      </c>
      <c r="J85" s="730">
        <v>5.12</v>
      </c>
      <c r="K85" s="730">
        <v>5.89</v>
      </c>
      <c r="L85" s="730">
        <v>6.71</v>
      </c>
      <c r="M85" s="730">
        <v>7.47</v>
      </c>
      <c r="N85" s="731">
        <v>6.08</v>
      </c>
      <c r="O85" s="733"/>
      <c r="P85" s="705">
        <v>250</v>
      </c>
      <c r="Q85" s="730">
        <v>6.31</v>
      </c>
      <c r="R85" s="730">
        <v>10.27</v>
      </c>
      <c r="S85" s="730">
        <v>11.02</v>
      </c>
      <c r="T85" s="730">
        <v>12.76</v>
      </c>
      <c r="U85" s="730">
        <v>14.61</v>
      </c>
      <c r="V85" s="730">
        <v>16.26</v>
      </c>
      <c r="W85" s="731" t="s">
        <v>246</v>
      </c>
    </row>
    <row r="86" ht="16.35" spans="6:23">
      <c r="F86" s="706"/>
      <c r="G86" s="705">
        <v>250</v>
      </c>
      <c r="H86" s="705">
        <v>3.62</v>
      </c>
      <c r="I86" s="730">
        <v>5.82</v>
      </c>
      <c r="J86" s="730">
        <v>6.23</v>
      </c>
      <c r="K86" s="730">
        <v>7.18</v>
      </c>
      <c r="L86" s="730">
        <v>8.12</v>
      </c>
      <c r="M86" s="730">
        <v>9.06</v>
      </c>
      <c r="N86" s="731">
        <v>6.56</v>
      </c>
      <c r="O86" s="733"/>
      <c r="P86" s="705">
        <v>280</v>
      </c>
      <c r="Q86" s="730">
        <v>7.59</v>
      </c>
      <c r="R86" s="730">
        <v>12.4</v>
      </c>
      <c r="S86" s="730">
        <v>13.31</v>
      </c>
      <c r="T86" s="730">
        <v>15.4</v>
      </c>
      <c r="U86" s="730">
        <v>17.6</v>
      </c>
      <c r="V86" s="730">
        <v>19.49</v>
      </c>
      <c r="W86" s="731" t="s">
        <v>246</v>
      </c>
    </row>
    <row r="87" ht="15.6" spans="1:23">
      <c r="A87" s="707" t="s">
        <v>1169</v>
      </c>
      <c r="B87" s="708"/>
      <c r="C87" s="708"/>
      <c r="D87" s="709"/>
      <c r="F87" s="706"/>
      <c r="G87" s="705">
        <v>280</v>
      </c>
      <c r="H87" s="705">
        <v>4.32</v>
      </c>
      <c r="I87" s="730">
        <v>6.99</v>
      </c>
      <c r="J87" s="730">
        <v>7.52</v>
      </c>
      <c r="K87" s="730">
        <v>8.65</v>
      </c>
      <c r="L87" s="730">
        <v>9.81</v>
      </c>
      <c r="M87" s="730">
        <v>10.74</v>
      </c>
      <c r="N87" s="731">
        <v>6.13</v>
      </c>
      <c r="O87" s="733"/>
      <c r="P87" s="705">
        <v>315</v>
      </c>
      <c r="Q87" s="730">
        <v>9.07</v>
      </c>
      <c r="R87" s="730">
        <v>14.82</v>
      </c>
      <c r="S87" s="730">
        <v>15.9</v>
      </c>
      <c r="T87" s="730">
        <v>18.37</v>
      </c>
      <c r="U87" s="730">
        <v>20.88</v>
      </c>
      <c r="V87" s="730">
        <v>22.92</v>
      </c>
      <c r="W87" s="731" t="s">
        <v>246</v>
      </c>
    </row>
    <row r="88" ht="16.35" spans="1:23">
      <c r="A88" s="564"/>
      <c r="B88" s="565"/>
      <c r="C88" s="565"/>
      <c r="D88" s="566"/>
      <c r="F88" s="706"/>
      <c r="G88" s="705">
        <v>315</v>
      </c>
      <c r="H88" s="705">
        <v>5.41</v>
      </c>
      <c r="I88" s="730">
        <v>8.34</v>
      </c>
      <c r="J88" s="730">
        <v>8.92</v>
      </c>
      <c r="K88" s="730">
        <v>10.23</v>
      </c>
      <c r="L88" s="730">
        <v>11.53</v>
      </c>
      <c r="M88" s="730">
        <v>12.48</v>
      </c>
      <c r="N88" s="731">
        <v>4.16</v>
      </c>
      <c r="O88" s="735"/>
      <c r="P88" s="711">
        <v>400</v>
      </c>
      <c r="Q88" s="736">
        <v>12.56</v>
      </c>
      <c r="R88" s="736">
        <v>20.41</v>
      </c>
      <c r="S88" s="736">
        <v>21.84</v>
      </c>
      <c r="T88" s="736">
        <v>25.15</v>
      </c>
      <c r="U88" s="736">
        <v>27.33</v>
      </c>
      <c r="V88" s="736">
        <v>29.4</v>
      </c>
      <c r="W88" s="740" t="s">
        <v>246</v>
      </c>
    </row>
    <row r="89" ht="16.35" spans="1:14">
      <c r="A89" s="564"/>
      <c r="B89" s="565"/>
      <c r="C89" s="565"/>
      <c r="D89" s="566"/>
      <c r="F89" s="710"/>
      <c r="G89" s="711">
        <v>400</v>
      </c>
      <c r="H89" s="711">
        <v>7.06</v>
      </c>
      <c r="I89" s="736">
        <v>11.52</v>
      </c>
      <c r="J89" s="736">
        <v>12.1</v>
      </c>
      <c r="K89" s="736">
        <v>13.67</v>
      </c>
      <c r="L89" s="736">
        <v>15.04</v>
      </c>
      <c r="M89" s="736">
        <v>15.51</v>
      </c>
      <c r="N89" s="737" t="s">
        <v>1170</v>
      </c>
    </row>
    <row r="90" ht="13.8" spans="1:4">
      <c r="A90" s="564"/>
      <c r="B90" s="565"/>
      <c r="C90" s="565"/>
      <c r="D90" s="566"/>
    </row>
    <row r="91" ht="15.15" spans="1:6">
      <c r="A91" s="564"/>
      <c r="B91" s="565"/>
      <c r="C91" s="565"/>
      <c r="D91" s="566"/>
      <c r="F91" s="47" t="s">
        <v>1171</v>
      </c>
    </row>
    <row r="92" ht="16.35" spans="1:17">
      <c r="A92" s="564"/>
      <c r="B92" s="565"/>
      <c r="C92" s="565"/>
      <c r="D92" s="566"/>
      <c r="F92" s="712" t="s">
        <v>1158</v>
      </c>
      <c r="G92" s="713" t="s">
        <v>1172</v>
      </c>
      <c r="H92" s="714" t="s">
        <v>1173</v>
      </c>
      <c r="I92" s="738"/>
      <c r="J92" s="738"/>
      <c r="K92" s="738"/>
      <c r="L92" s="738"/>
      <c r="M92" s="738"/>
      <c r="N92" s="738"/>
      <c r="O92" s="738"/>
      <c r="P92" s="738"/>
      <c r="Q92" s="738"/>
    </row>
    <row r="93" ht="14.55" spans="1:17">
      <c r="A93" s="567"/>
      <c r="B93" s="568"/>
      <c r="C93" s="568"/>
      <c r="D93" s="569"/>
      <c r="F93" s="715"/>
      <c r="G93" s="716"/>
      <c r="H93" s="717" t="s">
        <v>1174</v>
      </c>
      <c r="I93" s="739" t="s">
        <v>1175</v>
      </c>
      <c r="J93" s="739" t="s">
        <v>1176</v>
      </c>
      <c r="K93" s="739" t="s">
        <v>1177</v>
      </c>
      <c r="L93" s="739" t="s">
        <v>1178</v>
      </c>
      <c r="M93" s="739" t="s">
        <v>1179</v>
      </c>
      <c r="N93" s="739" t="s">
        <v>1180</v>
      </c>
      <c r="O93" s="739" t="s">
        <v>1181</v>
      </c>
      <c r="P93" s="739" t="s">
        <v>1182</v>
      </c>
      <c r="Q93" s="741" t="s">
        <v>1183</v>
      </c>
    </row>
    <row r="94" ht="15.6" spans="6:17">
      <c r="F94" s="718" t="s">
        <v>497</v>
      </c>
      <c r="G94" s="719">
        <v>400</v>
      </c>
      <c r="H94" s="719">
        <v>0</v>
      </c>
      <c r="I94" s="719">
        <v>0</v>
      </c>
      <c r="J94" s="719">
        <v>0</v>
      </c>
      <c r="K94" s="719">
        <v>0</v>
      </c>
      <c r="L94" s="719">
        <v>0</v>
      </c>
      <c r="M94" s="719">
        <v>0</v>
      </c>
      <c r="N94" s="719">
        <v>0</v>
      </c>
      <c r="O94" s="719">
        <v>0</v>
      </c>
      <c r="P94" s="719">
        <v>0.01</v>
      </c>
      <c r="Q94" s="742">
        <v>0.01</v>
      </c>
    </row>
    <row r="95" ht="15.6" spans="6:17">
      <c r="F95" s="720"/>
      <c r="G95" s="719">
        <v>730</v>
      </c>
      <c r="H95" s="719">
        <v>0</v>
      </c>
      <c r="I95" s="719">
        <v>0</v>
      </c>
      <c r="J95" s="719">
        <v>0</v>
      </c>
      <c r="K95" s="719">
        <v>0</v>
      </c>
      <c r="L95" s="719">
        <v>0</v>
      </c>
      <c r="M95" s="719">
        <v>0</v>
      </c>
      <c r="N95" s="719">
        <v>0.01</v>
      </c>
      <c r="O95" s="719">
        <v>0.01</v>
      </c>
      <c r="P95" s="719">
        <v>0.01</v>
      </c>
      <c r="Q95" s="742">
        <v>0.02</v>
      </c>
    </row>
    <row r="96" ht="15.6" spans="6:17">
      <c r="F96" s="720"/>
      <c r="G96" s="719">
        <v>800</v>
      </c>
      <c r="H96" s="719">
        <v>0</v>
      </c>
      <c r="I96" s="719">
        <v>0</v>
      </c>
      <c r="J96" s="719">
        <v>0</v>
      </c>
      <c r="K96" s="719">
        <v>0</v>
      </c>
      <c r="L96" s="719">
        <v>0.01</v>
      </c>
      <c r="M96" s="719">
        <v>0.01</v>
      </c>
      <c r="N96" s="719">
        <v>0.01</v>
      </c>
      <c r="O96" s="719">
        <v>0.01</v>
      </c>
      <c r="P96" s="719">
        <v>0.02</v>
      </c>
      <c r="Q96" s="742">
        <v>0.02</v>
      </c>
    </row>
    <row r="97" ht="15.6" spans="6:17">
      <c r="F97" s="720"/>
      <c r="G97" s="719">
        <v>980</v>
      </c>
      <c r="H97" s="719">
        <v>0</v>
      </c>
      <c r="I97" s="719">
        <v>0</v>
      </c>
      <c r="J97" s="719">
        <v>0</v>
      </c>
      <c r="K97" s="719">
        <v>0</v>
      </c>
      <c r="L97" s="719">
        <v>0.01</v>
      </c>
      <c r="M97" s="719">
        <v>0.01</v>
      </c>
      <c r="N97" s="719">
        <v>0.01</v>
      </c>
      <c r="O97" s="719">
        <v>0.02</v>
      </c>
      <c r="P97" s="719">
        <v>0.02</v>
      </c>
      <c r="Q97" s="742">
        <v>0.02</v>
      </c>
    </row>
    <row r="98" ht="15.6" spans="6:17">
      <c r="F98" s="720"/>
      <c r="G98" s="719">
        <v>1200</v>
      </c>
      <c r="H98" s="719">
        <v>0</v>
      </c>
      <c r="I98" s="719">
        <v>0</v>
      </c>
      <c r="J98" s="719">
        <v>0.01</v>
      </c>
      <c r="K98" s="719">
        <v>0.01</v>
      </c>
      <c r="L98" s="719">
        <v>0.01</v>
      </c>
      <c r="M98" s="719">
        <v>0.01</v>
      </c>
      <c r="N98" s="719">
        <v>0.02</v>
      </c>
      <c r="O98" s="719">
        <v>0.02</v>
      </c>
      <c r="P98" s="719">
        <v>0.02</v>
      </c>
      <c r="Q98" s="742">
        <v>0.03</v>
      </c>
    </row>
    <row r="99" ht="15.6" spans="6:17">
      <c r="F99" s="720"/>
      <c r="G99" s="719">
        <v>1460</v>
      </c>
      <c r="H99" s="719">
        <v>0</v>
      </c>
      <c r="I99" s="719">
        <v>0</v>
      </c>
      <c r="J99" s="719">
        <v>0.01</v>
      </c>
      <c r="K99" s="719">
        <v>0.01</v>
      </c>
      <c r="L99" s="719">
        <v>0.01</v>
      </c>
      <c r="M99" s="719">
        <v>0.02</v>
      </c>
      <c r="N99" s="719">
        <v>0.02</v>
      </c>
      <c r="O99" s="719">
        <v>0.02</v>
      </c>
      <c r="P99" s="719">
        <v>0.02</v>
      </c>
      <c r="Q99" s="742">
        <v>0.03</v>
      </c>
    </row>
    <row r="100" ht="16.35" spans="6:17">
      <c r="F100" s="721"/>
      <c r="G100" s="722">
        <v>2800</v>
      </c>
      <c r="H100" s="722">
        <v>0</v>
      </c>
      <c r="I100" s="722">
        <v>0.01</v>
      </c>
      <c r="J100" s="722">
        <v>0.02</v>
      </c>
      <c r="K100" s="722">
        <v>0.02</v>
      </c>
      <c r="L100" s="722">
        <v>0.03</v>
      </c>
      <c r="M100" s="722">
        <v>0.03</v>
      </c>
      <c r="N100" s="722">
        <v>0.03</v>
      </c>
      <c r="O100" s="722">
        <v>0.04</v>
      </c>
      <c r="P100" s="722">
        <v>0.04</v>
      </c>
      <c r="Q100" s="743">
        <v>0.04</v>
      </c>
    </row>
    <row r="101" ht="15.6" spans="6:17">
      <c r="F101" s="718" t="s">
        <v>892</v>
      </c>
      <c r="G101" s="719">
        <v>400</v>
      </c>
      <c r="H101" s="719">
        <v>0</v>
      </c>
      <c r="I101" s="719">
        <v>0.01</v>
      </c>
      <c r="J101" s="719">
        <v>0.01</v>
      </c>
      <c r="K101" s="719">
        <v>0.02</v>
      </c>
      <c r="L101" s="719">
        <v>0.02</v>
      </c>
      <c r="M101" s="719">
        <v>0.03</v>
      </c>
      <c r="N101" s="719">
        <v>0.03</v>
      </c>
      <c r="O101" s="719">
        <v>0.04</v>
      </c>
      <c r="P101" s="719">
        <v>0.04</v>
      </c>
      <c r="Q101" s="742">
        <v>0.05</v>
      </c>
    </row>
    <row r="102" ht="15.6" spans="6:17">
      <c r="F102" s="720"/>
      <c r="G102" s="719">
        <v>730</v>
      </c>
      <c r="H102" s="719">
        <v>0</v>
      </c>
      <c r="I102" s="719">
        <v>0.01</v>
      </c>
      <c r="J102" s="719">
        <v>0.02</v>
      </c>
      <c r="K102" s="719">
        <v>0.03</v>
      </c>
      <c r="L102" s="719">
        <v>0.04</v>
      </c>
      <c r="M102" s="719">
        <v>0.05</v>
      </c>
      <c r="N102" s="719">
        <v>0.06</v>
      </c>
      <c r="O102" s="719">
        <v>0.07</v>
      </c>
      <c r="P102" s="719">
        <v>0.08</v>
      </c>
      <c r="Q102" s="742">
        <v>0.09</v>
      </c>
    </row>
    <row r="103" ht="15.6" spans="6:17">
      <c r="F103" s="720"/>
      <c r="G103" s="719">
        <v>800</v>
      </c>
      <c r="H103" s="719">
        <v>0</v>
      </c>
      <c r="I103" s="719">
        <v>0.01</v>
      </c>
      <c r="J103" s="719">
        <v>0.02</v>
      </c>
      <c r="K103" s="719">
        <v>0.03</v>
      </c>
      <c r="L103" s="719">
        <v>0.04</v>
      </c>
      <c r="M103" s="719">
        <v>0.05</v>
      </c>
      <c r="N103" s="719">
        <v>0.06</v>
      </c>
      <c r="O103" s="719">
        <v>0.08</v>
      </c>
      <c r="P103" s="719">
        <v>0.09</v>
      </c>
      <c r="Q103" s="742">
        <v>0.1</v>
      </c>
    </row>
    <row r="104" ht="15.6" spans="6:17">
      <c r="F104" s="720"/>
      <c r="G104" s="719">
        <v>980</v>
      </c>
      <c r="H104" s="719">
        <v>0</v>
      </c>
      <c r="I104" s="719">
        <v>0.01</v>
      </c>
      <c r="J104" s="719">
        <v>0.03</v>
      </c>
      <c r="K104" s="719">
        <v>0.04</v>
      </c>
      <c r="L104" s="719">
        <v>0.05</v>
      </c>
      <c r="M104" s="719">
        <v>0.06</v>
      </c>
      <c r="N104" s="719">
        <v>0.07</v>
      </c>
      <c r="O104" s="719">
        <v>0.08</v>
      </c>
      <c r="P104" s="719">
        <v>0.1</v>
      </c>
      <c r="Q104" s="742">
        <v>0.11</v>
      </c>
    </row>
    <row r="105" ht="15.6" spans="6:17">
      <c r="F105" s="720"/>
      <c r="G105" s="719">
        <v>1200</v>
      </c>
      <c r="H105" s="719">
        <v>0</v>
      </c>
      <c r="I105" s="719">
        <v>0.02</v>
      </c>
      <c r="J105" s="719">
        <v>0.03</v>
      </c>
      <c r="K105" s="719">
        <v>0.05</v>
      </c>
      <c r="L105" s="719">
        <v>0.07</v>
      </c>
      <c r="M105" s="719">
        <v>0.08</v>
      </c>
      <c r="N105" s="719">
        <v>0.1</v>
      </c>
      <c r="O105" s="719">
        <v>0.11</v>
      </c>
      <c r="P105" s="719">
        <v>0.13</v>
      </c>
      <c r="Q105" s="742">
        <v>0.15</v>
      </c>
    </row>
    <row r="106" ht="15.6" spans="6:17">
      <c r="F106" s="720"/>
      <c r="G106" s="719">
        <v>1460</v>
      </c>
      <c r="H106" s="719">
        <v>0</v>
      </c>
      <c r="I106" s="719">
        <v>0.02</v>
      </c>
      <c r="J106" s="719">
        <v>0.04</v>
      </c>
      <c r="K106" s="719">
        <v>0.06</v>
      </c>
      <c r="L106" s="719">
        <v>0.08</v>
      </c>
      <c r="M106" s="719">
        <v>0.09</v>
      </c>
      <c r="N106" s="719">
        <v>0.11</v>
      </c>
      <c r="O106" s="719">
        <v>0.13</v>
      </c>
      <c r="P106" s="719">
        <v>0.15</v>
      </c>
      <c r="Q106" s="742">
        <v>0.17</v>
      </c>
    </row>
    <row r="107" ht="16.35" spans="6:17">
      <c r="F107" s="721"/>
      <c r="G107" s="722">
        <v>2800</v>
      </c>
      <c r="H107" s="722">
        <v>0</v>
      </c>
      <c r="I107" s="722">
        <v>0.04</v>
      </c>
      <c r="J107" s="722">
        <v>0.08</v>
      </c>
      <c r="K107" s="722">
        <v>0.11</v>
      </c>
      <c r="L107" s="722">
        <v>0.15</v>
      </c>
      <c r="M107" s="722">
        <v>0.19</v>
      </c>
      <c r="N107" s="722">
        <v>0.23</v>
      </c>
      <c r="O107" s="722">
        <v>0.26</v>
      </c>
      <c r="P107" s="722">
        <v>0.3</v>
      </c>
      <c r="Q107" s="743">
        <v>0.34</v>
      </c>
    </row>
    <row r="108" ht="15.6" spans="6:17">
      <c r="F108" s="718" t="s">
        <v>896</v>
      </c>
      <c r="G108" s="719">
        <v>400</v>
      </c>
      <c r="H108" s="719">
        <v>0</v>
      </c>
      <c r="I108" s="719">
        <v>0.01</v>
      </c>
      <c r="J108" s="719">
        <v>0.03</v>
      </c>
      <c r="K108" s="719">
        <v>0.04</v>
      </c>
      <c r="L108" s="719">
        <v>0.06</v>
      </c>
      <c r="M108" s="719">
        <v>0.07</v>
      </c>
      <c r="N108" s="719">
        <v>0.08</v>
      </c>
      <c r="O108" s="719">
        <v>0.1</v>
      </c>
      <c r="P108" s="719">
        <v>0.11</v>
      </c>
      <c r="Q108" s="742">
        <v>0.13</v>
      </c>
    </row>
    <row r="109" ht="15.6" spans="6:17">
      <c r="F109" s="720"/>
      <c r="G109" s="719">
        <v>730</v>
      </c>
      <c r="H109" s="719">
        <v>0</v>
      </c>
      <c r="I109" s="719">
        <v>0.02</v>
      </c>
      <c r="J109" s="719">
        <v>0.05</v>
      </c>
      <c r="K109" s="719">
        <v>0.07</v>
      </c>
      <c r="L109" s="719">
        <v>0.1</v>
      </c>
      <c r="M109" s="719">
        <v>0.12</v>
      </c>
      <c r="N109" s="719">
        <v>0.15</v>
      </c>
      <c r="O109" s="719">
        <v>0.17</v>
      </c>
      <c r="P109" s="719">
        <v>0.2</v>
      </c>
      <c r="Q109" s="742">
        <v>0.22</v>
      </c>
    </row>
    <row r="110" ht="15.6" spans="6:17">
      <c r="F110" s="720"/>
      <c r="G110" s="719">
        <v>800</v>
      </c>
      <c r="H110" s="719">
        <v>0</v>
      </c>
      <c r="I110" s="719">
        <v>0.03</v>
      </c>
      <c r="J110" s="719">
        <v>0.06</v>
      </c>
      <c r="K110" s="719">
        <v>0.08</v>
      </c>
      <c r="L110" s="719">
        <v>0.11</v>
      </c>
      <c r="M110" s="719">
        <v>0.14</v>
      </c>
      <c r="N110" s="719">
        <v>0.17</v>
      </c>
      <c r="O110" s="719">
        <v>0.2</v>
      </c>
      <c r="P110" s="719">
        <v>0.23</v>
      </c>
      <c r="Q110" s="742">
        <v>0.25</v>
      </c>
    </row>
    <row r="111" ht="15.6" spans="6:17">
      <c r="F111" s="720"/>
      <c r="G111" s="719">
        <v>980</v>
      </c>
      <c r="H111" s="719">
        <v>0</v>
      </c>
      <c r="I111" s="719">
        <v>0.03</v>
      </c>
      <c r="J111" s="719">
        <v>0.07</v>
      </c>
      <c r="K111" s="719">
        <v>0.1</v>
      </c>
      <c r="L111" s="719">
        <v>0.13</v>
      </c>
      <c r="M111" s="719">
        <v>0.17</v>
      </c>
      <c r="N111" s="719">
        <v>0.2</v>
      </c>
      <c r="O111" s="719">
        <v>0.23</v>
      </c>
      <c r="P111" s="719">
        <v>0.26</v>
      </c>
      <c r="Q111" s="742">
        <v>0.3</v>
      </c>
    </row>
    <row r="112" ht="15.6" spans="6:17">
      <c r="F112" s="720"/>
      <c r="G112" s="719">
        <v>1200</v>
      </c>
      <c r="H112" s="719">
        <v>0</v>
      </c>
      <c r="I112" s="719">
        <v>0.04</v>
      </c>
      <c r="J112" s="719">
        <v>0.08</v>
      </c>
      <c r="K112" s="719">
        <v>0.13</v>
      </c>
      <c r="L112" s="719">
        <v>0.17</v>
      </c>
      <c r="M112" s="719">
        <v>0.21</v>
      </c>
      <c r="N112" s="719">
        <v>0.25</v>
      </c>
      <c r="O112" s="719">
        <v>0.3</v>
      </c>
      <c r="P112" s="719">
        <v>0.34</v>
      </c>
      <c r="Q112" s="742">
        <v>0.38</v>
      </c>
    </row>
    <row r="113" ht="15.6" spans="6:17">
      <c r="F113" s="720"/>
      <c r="G113" s="719">
        <v>1460</v>
      </c>
      <c r="H113" s="719">
        <v>0</v>
      </c>
      <c r="I113" s="719">
        <v>0.05</v>
      </c>
      <c r="J113" s="719">
        <v>0.1</v>
      </c>
      <c r="K113" s="719">
        <v>0.15</v>
      </c>
      <c r="L113" s="719">
        <v>0.2</v>
      </c>
      <c r="M113" s="719">
        <v>0.25</v>
      </c>
      <c r="N113" s="719">
        <v>0.31</v>
      </c>
      <c r="O113" s="719">
        <v>0.36</v>
      </c>
      <c r="P113" s="719">
        <v>0.4</v>
      </c>
      <c r="Q113" s="742">
        <v>0.46</v>
      </c>
    </row>
    <row r="114" ht="16.35" spans="6:17">
      <c r="F114" s="721"/>
      <c r="G114" s="722">
        <v>2800</v>
      </c>
      <c r="H114" s="722">
        <v>0</v>
      </c>
      <c r="I114" s="722">
        <v>0.1</v>
      </c>
      <c r="J114" s="722">
        <v>0.2</v>
      </c>
      <c r="K114" s="722">
        <v>0.29</v>
      </c>
      <c r="L114" s="722">
        <v>0.39</v>
      </c>
      <c r="M114" s="722">
        <v>0.49</v>
      </c>
      <c r="N114" s="722">
        <v>0.59</v>
      </c>
      <c r="O114" s="722">
        <v>0.69</v>
      </c>
      <c r="P114" s="722">
        <v>0.79</v>
      </c>
      <c r="Q114" s="743">
        <v>0.89</v>
      </c>
    </row>
    <row r="115" ht="15.6" spans="6:17">
      <c r="F115" s="718" t="s">
        <v>899</v>
      </c>
      <c r="G115" s="719">
        <v>400</v>
      </c>
      <c r="H115" s="719">
        <v>0</v>
      </c>
      <c r="I115" s="719">
        <v>0.04</v>
      </c>
      <c r="J115" s="719">
        <v>0.08</v>
      </c>
      <c r="K115" s="719">
        <v>0.12</v>
      </c>
      <c r="L115" s="719">
        <v>0.16</v>
      </c>
      <c r="M115" s="719">
        <v>0.2</v>
      </c>
      <c r="N115" s="719">
        <v>0.23</v>
      </c>
      <c r="O115" s="719">
        <v>0.27</v>
      </c>
      <c r="P115" s="719">
        <v>0.31</v>
      </c>
      <c r="Q115" s="742">
        <v>0.35</v>
      </c>
    </row>
    <row r="116" ht="15.6" spans="6:17">
      <c r="F116" s="720"/>
      <c r="G116" s="719">
        <v>730</v>
      </c>
      <c r="H116" s="719">
        <v>0</v>
      </c>
      <c r="I116" s="719">
        <v>0.07</v>
      </c>
      <c r="J116" s="719">
        <v>0.14</v>
      </c>
      <c r="K116" s="719">
        <v>0.21</v>
      </c>
      <c r="L116" s="719">
        <v>0.27</v>
      </c>
      <c r="M116" s="719">
        <v>0.34</v>
      </c>
      <c r="N116" s="719">
        <v>0.41</v>
      </c>
      <c r="O116" s="719">
        <v>0.48</v>
      </c>
      <c r="P116" s="719">
        <v>0.55</v>
      </c>
      <c r="Q116" s="742">
        <v>0.62</v>
      </c>
    </row>
    <row r="117" ht="15.6" spans="6:17">
      <c r="F117" s="720"/>
      <c r="G117" s="719">
        <v>800</v>
      </c>
      <c r="H117" s="719">
        <v>0</v>
      </c>
      <c r="I117" s="719">
        <v>0.08</v>
      </c>
      <c r="J117" s="719">
        <v>0.16</v>
      </c>
      <c r="K117" s="719">
        <v>0.23</v>
      </c>
      <c r="L117" s="719">
        <v>0.31</v>
      </c>
      <c r="M117" s="719">
        <v>0.39</v>
      </c>
      <c r="N117" s="719">
        <v>0.47</v>
      </c>
      <c r="O117" s="719">
        <v>0.55</v>
      </c>
      <c r="P117" s="719">
        <v>0.63</v>
      </c>
      <c r="Q117" s="742">
        <v>0.71</v>
      </c>
    </row>
    <row r="118" ht="15.6" spans="6:17">
      <c r="F118" s="720"/>
      <c r="G118" s="719">
        <v>980</v>
      </c>
      <c r="H118" s="719">
        <v>0</v>
      </c>
      <c r="I118" s="719">
        <v>0.09</v>
      </c>
      <c r="J118" s="719">
        <v>0.19</v>
      </c>
      <c r="K118" s="719">
        <v>0.27</v>
      </c>
      <c r="L118" s="719">
        <v>0.37</v>
      </c>
      <c r="M118" s="719">
        <v>0.47</v>
      </c>
      <c r="N118" s="719">
        <v>0.56</v>
      </c>
      <c r="O118" s="719">
        <v>0.65</v>
      </c>
      <c r="P118" s="719">
        <v>0.74</v>
      </c>
      <c r="Q118" s="742">
        <v>0.83</v>
      </c>
    </row>
    <row r="119" ht="15.6" spans="6:17">
      <c r="F119" s="720"/>
      <c r="G119" s="719">
        <v>1200</v>
      </c>
      <c r="H119" s="719">
        <v>0</v>
      </c>
      <c r="I119" s="719">
        <v>0.12</v>
      </c>
      <c r="J119" s="719">
        <v>0.24</v>
      </c>
      <c r="K119" s="719">
        <v>0.35</v>
      </c>
      <c r="L119" s="719">
        <v>0.47</v>
      </c>
      <c r="M119" s="719">
        <v>0.59</v>
      </c>
      <c r="N119" s="719">
        <v>0.7</v>
      </c>
      <c r="O119" s="719">
        <v>0.82</v>
      </c>
      <c r="P119" s="719">
        <v>0.94</v>
      </c>
      <c r="Q119" s="742">
        <v>1.06</v>
      </c>
    </row>
    <row r="120" ht="15.6" spans="6:17">
      <c r="F120" s="720"/>
      <c r="G120" s="719">
        <v>1460</v>
      </c>
      <c r="H120" s="719">
        <v>0</v>
      </c>
      <c r="I120" s="719">
        <v>0.14</v>
      </c>
      <c r="J120" s="719">
        <v>0.28</v>
      </c>
      <c r="K120" s="719">
        <v>0.42</v>
      </c>
      <c r="L120" s="719">
        <v>0.58</v>
      </c>
      <c r="M120" s="719">
        <v>0.71</v>
      </c>
      <c r="N120" s="719">
        <v>0.85</v>
      </c>
      <c r="O120" s="719">
        <v>0.99</v>
      </c>
      <c r="P120" s="719">
        <v>1.14</v>
      </c>
      <c r="Q120" s="742">
        <v>1.27</v>
      </c>
    </row>
    <row r="121" ht="16.35" spans="6:17">
      <c r="F121" s="721"/>
      <c r="G121" s="722">
        <v>2800</v>
      </c>
      <c r="H121" s="722">
        <v>0</v>
      </c>
      <c r="I121" s="722">
        <v>0.27</v>
      </c>
      <c r="J121" s="722">
        <v>0.55</v>
      </c>
      <c r="K121" s="722">
        <v>0.82</v>
      </c>
      <c r="L121" s="722">
        <v>1.1</v>
      </c>
      <c r="M121" s="722">
        <v>1.37</v>
      </c>
      <c r="N121" s="722">
        <v>1.64</v>
      </c>
      <c r="O121" s="722">
        <v>1.92</v>
      </c>
      <c r="P121" s="722">
        <v>2.19</v>
      </c>
      <c r="Q121" s="743">
        <v>2.47</v>
      </c>
    </row>
    <row r="123" ht="14.4" spans="6:6">
      <c r="F123" s="47" t="s">
        <v>1184</v>
      </c>
    </row>
    <row r="124" ht="16.35" spans="6:19">
      <c r="F124" s="723" t="s">
        <v>1185</v>
      </c>
      <c r="G124" s="724">
        <v>180</v>
      </c>
      <c r="H124" s="724">
        <v>175</v>
      </c>
      <c r="I124" s="724">
        <v>170</v>
      </c>
      <c r="J124" s="724">
        <v>165</v>
      </c>
      <c r="K124" s="724">
        <v>160</v>
      </c>
      <c r="L124" s="724">
        <v>155</v>
      </c>
      <c r="M124" s="724">
        <v>150</v>
      </c>
      <c r="N124" s="724">
        <v>145</v>
      </c>
      <c r="O124" s="724">
        <v>140</v>
      </c>
      <c r="P124" s="724">
        <v>135</v>
      </c>
      <c r="Q124" s="724">
        <v>130</v>
      </c>
      <c r="R124" s="724">
        <v>125</v>
      </c>
      <c r="S124" s="724">
        <v>120</v>
      </c>
    </row>
    <row r="125" ht="16.35" spans="6:19">
      <c r="F125" s="725" t="s">
        <v>1186</v>
      </c>
      <c r="G125" s="724">
        <v>1</v>
      </c>
      <c r="H125" s="724">
        <v>0.99</v>
      </c>
      <c r="I125" s="724">
        <v>0.98</v>
      </c>
      <c r="J125" s="724">
        <v>0.96</v>
      </c>
      <c r="K125" s="724">
        <v>0.95</v>
      </c>
      <c r="L125" s="724">
        <v>0.93</v>
      </c>
      <c r="M125" s="724">
        <v>0.92</v>
      </c>
      <c r="N125" s="724">
        <v>0.91</v>
      </c>
      <c r="O125" s="724">
        <v>0.89</v>
      </c>
      <c r="P125" s="724">
        <v>0.88</v>
      </c>
      <c r="Q125" s="724">
        <v>0.86</v>
      </c>
      <c r="R125" s="724">
        <v>0.84</v>
      </c>
      <c r="S125" s="724">
        <v>0.82</v>
      </c>
    </row>
  </sheetData>
  <customSheetViews>
    <customSheetView guid="{27B96A40-A6B2-43F7-A93C-713F4207CB2A}">
      <selection activeCell="O13" sqref="O13"/>
      <pageMargins left="0.7" right="0.7" top="0.75" bottom="0.75" header="0.3" footer="0.3"/>
      <headerFooter/>
    </customSheetView>
  </customSheetViews>
  <mergeCells count="68">
    <mergeCell ref="A1:D1"/>
    <mergeCell ref="G3:L3"/>
    <mergeCell ref="M3:R3"/>
    <mergeCell ref="G4:I4"/>
    <mergeCell ref="J4:L4"/>
    <mergeCell ref="M4:R4"/>
    <mergeCell ref="H68:N68"/>
    <mergeCell ref="Q68:W68"/>
    <mergeCell ref="H92:Q92"/>
    <mergeCell ref="A4:A6"/>
    <mergeCell ref="A7:A8"/>
    <mergeCell ref="A10:A13"/>
    <mergeCell ref="A14:A18"/>
    <mergeCell ref="A19:A20"/>
    <mergeCell ref="A21:A26"/>
    <mergeCell ref="A28:A31"/>
    <mergeCell ref="D29:D31"/>
    <mergeCell ref="F3:F5"/>
    <mergeCell ref="F6:F7"/>
    <mergeCell ref="F8:F9"/>
    <mergeCell ref="F10:F11"/>
    <mergeCell ref="F12:F13"/>
    <mergeCell ref="F39:F41"/>
    <mergeCell ref="F68:F69"/>
    <mergeCell ref="F70:F73"/>
    <mergeCell ref="F74:F78"/>
    <mergeCell ref="F79:F83"/>
    <mergeCell ref="F84:F89"/>
    <mergeCell ref="F92:F93"/>
    <mergeCell ref="F94:F100"/>
    <mergeCell ref="F101:F107"/>
    <mergeCell ref="F108:F114"/>
    <mergeCell ref="F115:F121"/>
    <mergeCell ref="G6:G7"/>
    <mergeCell ref="G8:G9"/>
    <mergeCell ref="G10:G11"/>
    <mergeCell ref="G12:G13"/>
    <mergeCell ref="G68:G69"/>
    <mergeCell ref="G92:G93"/>
    <mergeCell ref="H6:H7"/>
    <mergeCell ref="H8:H9"/>
    <mergeCell ref="H10:H11"/>
    <mergeCell ref="H12:H13"/>
    <mergeCell ref="I6:I7"/>
    <mergeCell ref="I8:I9"/>
    <mergeCell ref="I10:I11"/>
    <mergeCell ref="I12:I13"/>
    <mergeCell ref="J6:J7"/>
    <mergeCell ref="J8:J9"/>
    <mergeCell ref="J10:J11"/>
    <mergeCell ref="J12:J13"/>
    <mergeCell ref="K6:K7"/>
    <mergeCell ref="K8:K9"/>
    <mergeCell ref="K10:K11"/>
    <mergeCell ref="K12:K13"/>
    <mergeCell ref="L6:L7"/>
    <mergeCell ref="L8:L9"/>
    <mergeCell ref="L10:L11"/>
    <mergeCell ref="L12:L13"/>
    <mergeCell ref="O68:O69"/>
    <mergeCell ref="O70:O73"/>
    <mergeCell ref="O74:O78"/>
    <mergeCell ref="O79:O83"/>
    <mergeCell ref="O84:O88"/>
    <mergeCell ref="P68:P69"/>
    <mergeCell ref="A87:D93"/>
    <mergeCell ref="A34:D41"/>
    <mergeCell ref="G39:R41"/>
  </mergeCells>
  <dataValidations count="1">
    <dataValidation type="list" allowBlank="1" showInputMessage="1" showErrorMessage="1" prompt="请选择" sqref="C9">
      <formula1>$AK$2:$AK$11</formula1>
    </dataValidation>
  </dataValidations>
  <pageMargins left="0.7" right="0.7" top="0.75" bottom="0.75" header="0.3" footer="0.3"/>
  <headerFooter/>
  <drawing r:id="rId2"/>
  <legacyDrawing r:id="rId3"/>
  <oleObjects>
    <mc:AlternateContent xmlns:mc="http://schemas.openxmlformats.org/markup-compatibility/2006">
      <mc:Choice Requires="x14">
        <oleObject shapeId="7169" progId="PBrush" r:id="rId4">
          <objectPr defaultSize="0" r:id="rId5">
            <anchor moveWithCells="1" sizeWithCells="1">
              <from>
                <xdr:col>13</xdr:col>
                <xdr:colOff>160020</xdr:colOff>
                <xdr:row>14</xdr:row>
                <xdr:rowOff>160020</xdr:rowOff>
              </from>
              <to>
                <xdr:col>22</xdr:col>
                <xdr:colOff>22860</xdr:colOff>
                <xdr:row>37</xdr:row>
                <xdr:rowOff>22860</xdr:rowOff>
              </to>
            </anchor>
          </objectPr>
        </oleObject>
      </mc:Choice>
      <mc:Fallback>
        <oleObject shapeId="7169" progId="PBrush"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35</vt:i4>
      </vt:variant>
    </vt:vector>
  </HeadingPairs>
  <TitlesOfParts>
    <vt:vector size="35" baseType="lpstr">
      <vt:lpstr>目录</vt:lpstr>
      <vt:lpstr>轴的计算校核</vt:lpstr>
      <vt:lpstr>轴承校核计算</vt:lpstr>
      <vt:lpstr>圆柱齿轮强度</vt:lpstr>
      <vt:lpstr>锥齿轮强度</vt:lpstr>
      <vt:lpstr>蜗杆蜗轮强度</vt:lpstr>
      <vt:lpstr>螺栓螺钉计算</vt:lpstr>
      <vt:lpstr>弹簧校核计算</vt:lpstr>
      <vt:lpstr>V带选型向导</vt:lpstr>
      <vt:lpstr>同步带选型向导</vt:lpstr>
      <vt:lpstr>传送平带转矩计算</vt:lpstr>
      <vt:lpstr>滚子链选型向导</vt:lpstr>
      <vt:lpstr>倍速链选型向导</vt:lpstr>
      <vt:lpstr>气缸选型向导</vt:lpstr>
      <vt:lpstr>回转气缸选型向导</vt:lpstr>
      <vt:lpstr>普通滑台气缸选型向导</vt:lpstr>
      <vt:lpstr>精密滑台气缸选型向导 </vt:lpstr>
      <vt:lpstr>气动手指选型向导</vt:lpstr>
      <vt:lpstr>电磁阀选型向导</vt:lpstr>
      <vt:lpstr>真空吸盘与发生器</vt:lpstr>
      <vt:lpstr>油压缓冲器选型</vt:lpstr>
      <vt:lpstr>液压缸选型向导</vt:lpstr>
      <vt:lpstr>液压马达选型向导</vt:lpstr>
      <vt:lpstr>液压泵选型向导</vt:lpstr>
      <vt:lpstr>直线轴承选型向导</vt:lpstr>
      <vt:lpstr>2x2直线导轨滑块与直线轴承</vt:lpstr>
      <vt:lpstr>2x1直线导轨滑块与直线轴承</vt:lpstr>
      <vt:lpstr>1x1直线导轨滑块与直线轴承</vt:lpstr>
      <vt:lpstr>滚珠丝杆选型</vt:lpstr>
      <vt:lpstr>步进伺服电机选型</vt:lpstr>
      <vt:lpstr>凸轮分割器</vt:lpstr>
      <vt:lpstr>硬度与强度换算</vt:lpstr>
      <vt:lpstr>管螺纹尺寸对照</vt:lpstr>
      <vt:lpstr>反解渐开线inv</vt:lpstr>
      <vt:lpstr>转动惯量</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cp:lastModifiedBy>
  <dcterms:created xsi:type="dcterms:W3CDTF">2008-09-11T17:22:00Z</dcterms:created>
  <dcterms:modified xsi:type="dcterms:W3CDTF">2021-07-25T07:11:35Z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2052-11.1.0.10667</vt:lpwstr>
  </property>
  <property fmtid="{D5CDD505-2E9C-101B-9397-08002B2CF9AE}" pid="3" name="ICV">
    <vt:lpwstr>2A479632552D48829B0CF725E2C3510C</vt:lpwstr>
  </property>
</Properties>
</file>